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75" windowWidth="20055" windowHeight="7935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589" i="1" l="1"/>
  <c r="W1579" i="1"/>
  <c r="Q1579" i="1"/>
  <c r="M1579" i="1"/>
  <c r="W1576" i="1"/>
  <c r="Q1576" i="1"/>
  <c r="M1576" i="1"/>
  <c r="AA1572" i="1"/>
  <c r="X1572" i="1"/>
  <c r="W1572" i="1"/>
  <c r="V1572" i="1"/>
  <c r="U1572" i="1"/>
  <c r="T1572" i="1"/>
  <c r="S1572" i="1"/>
  <c r="R1572" i="1"/>
  <c r="Y1572" i="1" s="1"/>
  <c r="Q1572" i="1"/>
  <c r="P1572" i="1"/>
  <c r="O1572" i="1"/>
  <c r="N1572" i="1"/>
  <c r="M1572" i="1"/>
  <c r="L1572" i="1"/>
  <c r="K1572" i="1"/>
  <c r="J1572" i="1"/>
  <c r="I1572" i="1"/>
  <c r="F1572" i="1"/>
  <c r="E1572" i="1"/>
  <c r="D1572" i="1"/>
  <c r="AA1571" i="1"/>
  <c r="Y1571" i="1"/>
  <c r="Z1571" i="1" s="1"/>
  <c r="X1571" i="1"/>
  <c r="W1571" i="1"/>
  <c r="V1571" i="1"/>
  <c r="U1571" i="1"/>
  <c r="T1571" i="1"/>
  <c r="S1571" i="1"/>
  <c r="Q1571" i="1"/>
  <c r="P1571" i="1"/>
  <c r="O1571" i="1"/>
  <c r="N1571" i="1"/>
  <c r="M1571" i="1"/>
  <c r="L1571" i="1"/>
  <c r="K1571" i="1"/>
  <c r="J1571" i="1"/>
  <c r="I1571" i="1"/>
  <c r="F1571" i="1"/>
  <c r="E1571" i="1"/>
  <c r="AA1570" i="1"/>
  <c r="X1570" i="1"/>
  <c r="W1570" i="1"/>
  <c r="V1570" i="1"/>
  <c r="U1570" i="1"/>
  <c r="T1570" i="1"/>
  <c r="S1570" i="1"/>
  <c r="Q1570" i="1"/>
  <c r="P1570" i="1"/>
  <c r="O1570" i="1"/>
  <c r="N1570" i="1"/>
  <c r="M1570" i="1"/>
  <c r="L1570" i="1"/>
  <c r="K1570" i="1"/>
  <c r="J1570" i="1"/>
  <c r="I1570" i="1"/>
  <c r="H1570" i="1"/>
  <c r="Y1570" i="1" s="1"/>
  <c r="F1570" i="1"/>
  <c r="E1570" i="1"/>
  <c r="D1570" i="1"/>
  <c r="AA1569" i="1"/>
  <c r="X1569" i="1"/>
  <c r="W1569" i="1"/>
  <c r="V1569" i="1"/>
  <c r="U1569" i="1"/>
  <c r="T1569" i="1"/>
  <c r="S1569" i="1"/>
  <c r="Q1569" i="1"/>
  <c r="P1569" i="1"/>
  <c r="O1569" i="1"/>
  <c r="N1569" i="1"/>
  <c r="M1569" i="1"/>
  <c r="L1569" i="1"/>
  <c r="K1569" i="1"/>
  <c r="J1569" i="1"/>
  <c r="I1569" i="1"/>
  <c r="H1569" i="1"/>
  <c r="Y1569" i="1" s="1"/>
  <c r="F1569" i="1"/>
  <c r="E1569" i="1"/>
  <c r="D1569" i="1"/>
  <c r="AA1568" i="1"/>
  <c r="X1568" i="1"/>
  <c r="W1568" i="1"/>
  <c r="V1568" i="1"/>
  <c r="U1568" i="1"/>
  <c r="T1568" i="1"/>
  <c r="S1568" i="1"/>
  <c r="Q1568" i="1"/>
  <c r="P1568" i="1"/>
  <c r="O1568" i="1"/>
  <c r="N1568" i="1"/>
  <c r="M1568" i="1"/>
  <c r="L1568" i="1"/>
  <c r="K1568" i="1"/>
  <c r="J1568" i="1"/>
  <c r="I1568" i="1"/>
  <c r="H1568" i="1"/>
  <c r="Y1568" i="1" s="1"/>
  <c r="F1568" i="1"/>
  <c r="E1568" i="1"/>
  <c r="D1568" i="1"/>
  <c r="AA1567" i="1"/>
  <c r="Y1567" i="1"/>
  <c r="X1567" i="1"/>
  <c r="W1567" i="1"/>
  <c r="V1567" i="1"/>
  <c r="U1567" i="1"/>
  <c r="T1567" i="1"/>
  <c r="S1567" i="1"/>
  <c r="Q1567" i="1"/>
  <c r="P1567" i="1"/>
  <c r="O1567" i="1"/>
  <c r="N1567" i="1"/>
  <c r="M1567" i="1"/>
  <c r="L1567" i="1"/>
  <c r="K1567" i="1"/>
  <c r="J1567" i="1"/>
  <c r="I1567" i="1"/>
  <c r="F1567" i="1"/>
  <c r="E1567" i="1"/>
  <c r="D1567" i="1"/>
  <c r="AA1566" i="1"/>
  <c r="X1566" i="1"/>
  <c r="W1566" i="1"/>
  <c r="V1566" i="1"/>
  <c r="U1566" i="1"/>
  <c r="T1566" i="1"/>
  <c r="S1566" i="1"/>
  <c r="Q1566" i="1"/>
  <c r="P1566" i="1"/>
  <c r="O1566" i="1"/>
  <c r="N1566" i="1"/>
  <c r="M1566" i="1"/>
  <c r="L1566" i="1"/>
  <c r="K1566" i="1"/>
  <c r="J1566" i="1"/>
  <c r="I1566" i="1"/>
  <c r="H1566" i="1"/>
  <c r="Y1566" i="1" s="1"/>
  <c r="F1566" i="1"/>
  <c r="E1566" i="1"/>
  <c r="D1566" i="1"/>
  <c r="AA1565" i="1"/>
  <c r="X1565" i="1"/>
  <c r="W1565" i="1"/>
  <c r="V1565" i="1"/>
  <c r="U1565" i="1"/>
  <c r="T1565" i="1"/>
  <c r="S1565" i="1"/>
  <c r="R1565" i="1"/>
  <c r="Q1565" i="1"/>
  <c r="P1565" i="1"/>
  <c r="O1565" i="1"/>
  <c r="N1565" i="1"/>
  <c r="M1565" i="1"/>
  <c r="L1565" i="1"/>
  <c r="K1565" i="1"/>
  <c r="J1565" i="1"/>
  <c r="I1565" i="1"/>
  <c r="H1565" i="1"/>
  <c r="F1565" i="1"/>
  <c r="E1565" i="1"/>
  <c r="D1565" i="1"/>
  <c r="AA1564" i="1"/>
  <c r="X1564" i="1"/>
  <c r="W1564" i="1"/>
  <c r="V1564" i="1"/>
  <c r="U1564" i="1"/>
  <c r="T1564" i="1"/>
  <c r="S1564" i="1"/>
  <c r="R1564" i="1"/>
  <c r="Q1564" i="1"/>
  <c r="P1564" i="1"/>
  <c r="O1564" i="1"/>
  <c r="N1564" i="1"/>
  <c r="M1564" i="1"/>
  <c r="L1564" i="1"/>
  <c r="K1564" i="1"/>
  <c r="J1564" i="1"/>
  <c r="I1564" i="1"/>
  <c r="H1564" i="1"/>
  <c r="F1564" i="1"/>
  <c r="E1564" i="1"/>
  <c r="D1564" i="1"/>
  <c r="AA1563" i="1"/>
  <c r="X1563" i="1"/>
  <c r="W1563" i="1"/>
  <c r="V1563" i="1"/>
  <c r="U1563" i="1"/>
  <c r="T1563" i="1"/>
  <c r="S1563" i="1"/>
  <c r="R1563" i="1"/>
  <c r="Y1563" i="1" s="1"/>
  <c r="Q1563" i="1"/>
  <c r="P1563" i="1"/>
  <c r="O1563" i="1"/>
  <c r="N1563" i="1"/>
  <c r="M1563" i="1"/>
  <c r="L1563" i="1"/>
  <c r="K1563" i="1"/>
  <c r="J1563" i="1"/>
  <c r="I1563" i="1"/>
  <c r="F1563" i="1"/>
  <c r="E1563" i="1"/>
  <c r="D1563" i="1"/>
  <c r="AA1562" i="1"/>
  <c r="X1562" i="1"/>
  <c r="W1562" i="1"/>
  <c r="V1562" i="1"/>
  <c r="U1562" i="1"/>
  <c r="T1562" i="1"/>
  <c r="S1562" i="1"/>
  <c r="R1562" i="1"/>
  <c r="Y1562" i="1" s="1"/>
  <c r="Q1562" i="1"/>
  <c r="P1562" i="1"/>
  <c r="O1562" i="1"/>
  <c r="N1562" i="1"/>
  <c r="M1562" i="1"/>
  <c r="L1562" i="1"/>
  <c r="K1562" i="1"/>
  <c r="J1562" i="1"/>
  <c r="I1562" i="1"/>
  <c r="F1562" i="1"/>
  <c r="E1562" i="1"/>
  <c r="D1562" i="1"/>
  <c r="AA1561" i="1"/>
  <c r="X1561" i="1"/>
  <c r="W1561" i="1"/>
  <c r="V1561" i="1"/>
  <c r="U1561" i="1"/>
  <c r="T1561" i="1"/>
  <c r="S1561" i="1"/>
  <c r="R1561" i="1"/>
  <c r="Q1561" i="1"/>
  <c r="P1561" i="1"/>
  <c r="O1561" i="1"/>
  <c r="N1561" i="1"/>
  <c r="M1561" i="1"/>
  <c r="L1561" i="1"/>
  <c r="K1561" i="1"/>
  <c r="J1561" i="1"/>
  <c r="I1561" i="1"/>
  <c r="H1561" i="1"/>
  <c r="F1561" i="1"/>
  <c r="E1561" i="1"/>
  <c r="D1561" i="1"/>
  <c r="AA1560" i="1"/>
  <c r="Y1560" i="1"/>
  <c r="X1560" i="1"/>
  <c r="W1560" i="1"/>
  <c r="V1560" i="1"/>
  <c r="U1560" i="1"/>
  <c r="T1560" i="1"/>
  <c r="S1560" i="1"/>
  <c r="Q1560" i="1"/>
  <c r="P1560" i="1"/>
  <c r="O1560" i="1"/>
  <c r="N1560" i="1"/>
  <c r="M1560" i="1"/>
  <c r="L1560" i="1"/>
  <c r="K1560" i="1"/>
  <c r="J1560" i="1"/>
  <c r="I1560" i="1"/>
  <c r="F1560" i="1"/>
  <c r="E1560" i="1"/>
  <c r="D1560" i="1"/>
  <c r="H1559" i="1"/>
  <c r="Y1559" i="1" s="1"/>
  <c r="D1559" i="1"/>
  <c r="AA1558" i="1"/>
  <c r="X1558" i="1"/>
  <c r="W1558" i="1"/>
  <c r="V1558" i="1"/>
  <c r="U1558" i="1"/>
  <c r="T1558" i="1"/>
  <c r="S1558" i="1"/>
  <c r="Q1558" i="1"/>
  <c r="P1558" i="1"/>
  <c r="O1558" i="1"/>
  <c r="N1558" i="1"/>
  <c r="M1558" i="1"/>
  <c r="L1558" i="1"/>
  <c r="K1558" i="1"/>
  <c r="J1558" i="1"/>
  <c r="I1558" i="1"/>
  <c r="H1558" i="1"/>
  <c r="Y1558" i="1" s="1"/>
  <c r="F1558" i="1"/>
  <c r="E1558" i="1"/>
  <c r="D1558" i="1"/>
  <c r="AA1557" i="1"/>
  <c r="X1557" i="1"/>
  <c r="W1557" i="1"/>
  <c r="V1557" i="1"/>
  <c r="U1557" i="1"/>
  <c r="T1557" i="1"/>
  <c r="S1557" i="1"/>
  <c r="Q1557" i="1"/>
  <c r="P1557" i="1"/>
  <c r="O1557" i="1"/>
  <c r="N1557" i="1"/>
  <c r="M1557" i="1"/>
  <c r="L1557" i="1"/>
  <c r="K1557" i="1"/>
  <c r="J1557" i="1"/>
  <c r="I1557" i="1"/>
  <c r="H1557" i="1"/>
  <c r="Y1557" i="1" s="1"/>
  <c r="F1557" i="1"/>
  <c r="E1557" i="1"/>
  <c r="D1557" i="1"/>
  <c r="AA1556" i="1"/>
  <c r="X1556" i="1"/>
  <c r="W1556" i="1"/>
  <c r="V1556" i="1"/>
  <c r="U1556" i="1"/>
  <c r="T1556" i="1"/>
  <c r="S1556" i="1"/>
  <c r="R1556" i="1"/>
  <c r="Q1556" i="1"/>
  <c r="P1556" i="1"/>
  <c r="O1556" i="1"/>
  <c r="N1556" i="1"/>
  <c r="M1556" i="1"/>
  <c r="L1556" i="1"/>
  <c r="K1556" i="1"/>
  <c r="J1556" i="1"/>
  <c r="I1556" i="1"/>
  <c r="H1556" i="1"/>
  <c r="Y1556" i="1" s="1"/>
  <c r="F1556" i="1"/>
  <c r="E1556" i="1"/>
  <c r="D1556" i="1"/>
  <c r="AA1555" i="1"/>
  <c r="Y1555" i="1"/>
  <c r="X1555" i="1"/>
  <c r="W1555" i="1"/>
  <c r="V1555" i="1"/>
  <c r="U1555" i="1"/>
  <c r="T1555" i="1"/>
  <c r="S1555" i="1"/>
  <c r="Q1555" i="1"/>
  <c r="P1555" i="1"/>
  <c r="O1555" i="1"/>
  <c r="N1555" i="1"/>
  <c r="M1555" i="1"/>
  <c r="L1555" i="1"/>
  <c r="K1555" i="1"/>
  <c r="J1555" i="1"/>
  <c r="I1555" i="1"/>
  <c r="F1555" i="1"/>
  <c r="E1555" i="1"/>
  <c r="D1555" i="1"/>
  <c r="AA1554" i="1"/>
  <c r="X1554" i="1"/>
  <c r="W1554" i="1"/>
  <c r="V1554" i="1"/>
  <c r="U1554" i="1"/>
  <c r="T1554" i="1"/>
  <c r="S1554" i="1"/>
  <c r="Q1554" i="1"/>
  <c r="P1554" i="1"/>
  <c r="O1554" i="1"/>
  <c r="N1554" i="1"/>
  <c r="M1554" i="1"/>
  <c r="L1554" i="1"/>
  <c r="K1554" i="1"/>
  <c r="J1554" i="1"/>
  <c r="I1554" i="1"/>
  <c r="H1554" i="1"/>
  <c r="Y1554" i="1" s="1"/>
  <c r="F1554" i="1"/>
  <c r="E1554" i="1"/>
  <c r="D1554" i="1"/>
  <c r="R1553" i="1"/>
  <c r="H1553" i="1"/>
  <c r="D1553" i="1"/>
  <c r="AA1552" i="1"/>
  <c r="X1552" i="1"/>
  <c r="W1552" i="1"/>
  <c r="V1552" i="1"/>
  <c r="U1552" i="1"/>
  <c r="T1552" i="1"/>
  <c r="S1552" i="1"/>
  <c r="R1552" i="1"/>
  <c r="Q1552" i="1"/>
  <c r="P1552" i="1"/>
  <c r="O1552" i="1"/>
  <c r="N1552" i="1"/>
  <c r="M1552" i="1"/>
  <c r="L1552" i="1"/>
  <c r="K1552" i="1"/>
  <c r="J1552" i="1"/>
  <c r="I1552" i="1"/>
  <c r="H1552" i="1"/>
  <c r="D1552" i="1"/>
  <c r="H1551" i="1"/>
  <c r="Y1551" i="1" s="1"/>
  <c r="D1551" i="1"/>
  <c r="AA1550" i="1"/>
  <c r="X1550" i="1"/>
  <c r="W1550" i="1"/>
  <c r="V1550" i="1"/>
  <c r="U1550" i="1"/>
  <c r="T1550" i="1"/>
  <c r="S1550" i="1"/>
  <c r="Q1550" i="1"/>
  <c r="P1550" i="1"/>
  <c r="O1550" i="1"/>
  <c r="N1550" i="1"/>
  <c r="M1550" i="1"/>
  <c r="L1550" i="1"/>
  <c r="K1550" i="1"/>
  <c r="J1550" i="1"/>
  <c r="I1550" i="1"/>
  <c r="H1550" i="1"/>
  <c r="Y1550" i="1" s="1"/>
  <c r="D1550" i="1"/>
  <c r="AA1549" i="1"/>
  <c r="Y1549" i="1"/>
  <c r="X1549" i="1"/>
  <c r="W1549" i="1"/>
  <c r="V1549" i="1"/>
  <c r="U1549" i="1"/>
  <c r="T1549" i="1"/>
  <c r="S1549" i="1"/>
  <c r="Q1549" i="1"/>
  <c r="P1549" i="1"/>
  <c r="O1549" i="1"/>
  <c r="N1549" i="1"/>
  <c r="M1549" i="1"/>
  <c r="L1549" i="1"/>
  <c r="K1549" i="1"/>
  <c r="J1549" i="1"/>
  <c r="I1549" i="1"/>
  <c r="D1549" i="1"/>
  <c r="Z1549" i="1" s="1"/>
  <c r="AA1548" i="1"/>
  <c r="X1548" i="1"/>
  <c r="W1548" i="1"/>
  <c r="V1548" i="1"/>
  <c r="U1548" i="1"/>
  <c r="T1548" i="1"/>
  <c r="S1548" i="1"/>
  <c r="Q1548" i="1"/>
  <c r="P1548" i="1"/>
  <c r="O1548" i="1"/>
  <c r="N1548" i="1"/>
  <c r="M1548" i="1"/>
  <c r="L1548" i="1"/>
  <c r="K1548" i="1"/>
  <c r="J1548" i="1"/>
  <c r="I1548" i="1"/>
  <c r="H1548" i="1"/>
  <c r="Y1548" i="1" s="1"/>
  <c r="D1548" i="1"/>
  <c r="AA1547" i="1"/>
  <c r="X1547" i="1"/>
  <c r="W1547" i="1"/>
  <c r="V1547" i="1"/>
  <c r="U1547" i="1"/>
  <c r="T1547" i="1"/>
  <c r="S1547" i="1"/>
  <c r="Q1547" i="1"/>
  <c r="P1547" i="1"/>
  <c r="O1547" i="1"/>
  <c r="N1547" i="1"/>
  <c r="AB1547" i="1" s="1"/>
  <c r="M1547" i="1"/>
  <c r="L1547" i="1"/>
  <c r="K1547" i="1"/>
  <c r="J1547" i="1"/>
  <c r="I1547" i="1"/>
  <c r="H1547" i="1"/>
  <c r="Y1547" i="1" s="1"/>
  <c r="D1547" i="1"/>
  <c r="AA1546" i="1"/>
  <c r="X1546" i="1"/>
  <c r="W1546" i="1"/>
  <c r="V1546" i="1"/>
  <c r="U1546" i="1"/>
  <c r="T1546" i="1"/>
  <c r="S1546" i="1"/>
  <c r="Q1546" i="1"/>
  <c r="P1546" i="1"/>
  <c r="O1546" i="1"/>
  <c r="N1546" i="1"/>
  <c r="M1546" i="1"/>
  <c r="L1546" i="1"/>
  <c r="K1546" i="1"/>
  <c r="J1546" i="1"/>
  <c r="I1546" i="1"/>
  <c r="H1546" i="1"/>
  <c r="Y1546" i="1" s="1"/>
  <c r="D1546" i="1"/>
  <c r="AA1545" i="1"/>
  <c r="X1545" i="1"/>
  <c r="W1545" i="1"/>
  <c r="V1545" i="1"/>
  <c r="U1545" i="1"/>
  <c r="T1545" i="1"/>
  <c r="S1545" i="1"/>
  <c r="Q1545" i="1"/>
  <c r="P1545" i="1"/>
  <c r="O1545" i="1"/>
  <c r="N1545" i="1"/>
  <c r="M1545" i="1"/>
  <c r="L1545" i="1"/>
  <c r="K1545" i="1"/>
  <c r="J1545" i="1"/>
  <c r="I1545" i="1"/>
  <c r="H1545" i="1"/>
  <c r="Y1545" i="1" s="1"/>
  <c r="Z1545" i="1" s="1"/>
  <c r="D1545" i="1"/>
  <c r="AA1544" i="1"/>
  <c r="X1544" i="1"/>
  <c r="W1544" i="1"/>
  <c r="V1544" i="1"/>
  <c r="U1544" i="1"/>
  <c r="T1544" i="1"/>
  <c r="S1544" i="1"/>
  <c r="Q1544" i="1"/>
  <c r="P1544" i="1"/>
  <c r="O1544" i="1"/>
  <c r="N1544" i="1"/>
  <c r="M1544" i="1"/>
  <c r="L1544" i="1"/>
  <c r="K1544" i="1"/>
  <c r="J1544" i="1"/>
  <c r="I1544" i="1"/>
  <c r="H1544" i="1"/>
  <c r="Y1544" i="1" s="1"/>
  <c r="D1544" i="1"/>
  <c r="AA1543" i="1"/>
  <c r="X1543" i="1"/>
  <c r="W1543" i="1"/>
  <c r="V1543" i="1"/>
  <c r="U1543" i="1"/>
  <c r="T1543" i="1"/>
  <c r="S1543" i="1"/>
  <c r="Q1543" i="1"/>
  <c r="P1543" i="1"/>
  <c r="O1543" i="1"/>
  <c r="N1543" i="1"/>
  <c r="M1543" i="1"/>
  <c r="L1543" i="1"/>
  <c r="K1543" i="1"/>
  <c r="J1543" i="1"/>
  <c r="I1543" i="1"/>
  <c r="H1543" i="1"/>
  <c r="Y1543" i="1" s="1"/>
  <c r="D1543" i="1"/>
  <c r="AA1542" i="1"/>
  <c r="Y1542" i="1"/>
  <c r="Z1542" i="1" s="1"/>
  <c r="X1542" i="1"/>
  <c r="W1542" i="1"/>
  <c r="V1542" i="1"/>
  <c r="U1542" i="1"/>
  <c r="T1542" i="1"/>
  <c r="S1542" i="1"/>
  <c r="Q1542" i="1"/>
  <c r="P1542" i="1"/>
  <c r="O1542" i="1"/>
  <c r="N1542" i="1"/>
  <c r="M1542" i="1"/>
  <c r="L1542" i="1"/>
  <c r="K1542" i="1"/>
  <c r="J1542" i="1"/>
  <c r="I1542" i="1"/>
  <c r="AA1541" i="1"/>
  <c r="X1541" i="1"/>
  <c r="W1541" i="1"/>
  <c r="V1541" i="1"/>
  <c r="U1541" i="1"/>
  <c r="T1541" i="1"/>
  <c r="S1541" i="1"/>
  <c r="Q1541" i="1"/>
  <c r="P1541" i="1"/>
  <c r="O1541" i="1"/>
  <c r="N1541" i="1"/>
  <c r="M1541" i="1"/>
  <c r="L1541" i="1"/>
  <c r="K1541" i="1"/>
  <c r="J1541" i="1"/>
  <c r="I1541" i="1"/>
  <c r="H1541" i="1"/>
  <c r="Y1541" i="1" s="1"/>
  <c r="D1541" i="1"/>
  <c r="AA1540" i="1"/>
  <c r="X1540" i="1"/>
  <c r="W1540" i="1"/>
  <c r="V1540" i="1"/>
  <c r="U1540" i="1"/>
  <c r="T1540" i="1"/>
  <c r="S1540" i="1"/>
  <c r="Q1540" i="1"/>
  <c r="P1540" i="1"/>
  <c r="O1540" i="1"/>
  <c r="N1540" i="1"/>
  <c r="M1540" i="1"/>
  <c r="L1540" i="1"/>
  <c r="K1540" i="1"/>
  <c r="J1540" i="1"/>
  <c r="I1540" i="1"/>
  <c r="H1540" i="1"/>
  <c r="Y1540" i="1" s="1"/>
  <c r="D1540" i="1"/>
  <c r="H1539" i="1"/>
  <c r="Y1539" i="1" s="1"/>
  <c r="D1539" i="1"/>
  <c r="AA1538" i="1"/>
  <c r="X1538" i="1"/>
  <c r="W1538" i="1"/>
  <c r="V1538" i="1"/>
  <c r="U1538" i="1"/>
  <c r="T1538" i="1"/>
  <c r="S1538" i="1"/>
  <c r="R1538" i="1"/>
  <c r="Q1538" i="1"/>
  <c r="P1538" i="1"/>
  <c r="O1538" i="1"/>
  <c r="N1538" i="1"/>
  <c r="M1538" i="1"/>
  <c r="L1538" i="1"/>
  <c r="K1538" i="1"/>
  <c r="J1538" i="1"/>
  <c r="I1538" i="1"/>
  <c r="H1538" i="1"/>
  <c r="D1538" i="1"/>
  <c r="AA1537" i="1"/>
  <c r="X1537" i="1"/>
  <c r="W1537" i="1"/>
  <c r="V1537" i="1"/>
  <c r="U1537" i="1"/>
  <c r="T1537" i="1"/>
  <c r="S1537" i="1"/>
  <c r="Q1537" i="1"/>
  <c r="P1537" i="1"/>
  <c r="O1537" i="1"/>
  <c r="N1537" i="1"/>
  <c r="M1537" i="1"/>
  <c r="L1537" i="1"/>
  <c r="K1537" i="1"/>
  <c r="J1537" i="1"/>
  <c r="I1537" i="1"/>
  <c r="H1537" i="1"/>
  <c r="Y1537" i="1" s="1"/>
  <c r="D1537" i="1"/>
  <c r="AA1536" i="1"/>
  <c r="X1536" i="1"/>
  <c r="W1536" i="1"/>
  <c r="V1536" i="1"/>
  <c r="U1536" i="1"/>
  <c r="T1536" i="1"/>
  <c r="S1536" i="1"/>
  <c r="R1536" i="1"/>
  <c r="Q1536" i="1"/>
  <c r="P1536" i="1"/>
  <c r="O1536" i="1"/>
  <c r="N1536" i="1"/>
  <c r="M1536" i="1"/>
  <c r="L1536" i="1"/>
  <c r="K1536" i="1"/>
  <c r="J1536" i="1"/>
  <c r="I1536" i="1"/>
  <c r="H1536" i="1"/>
  <c r="Y1536" i="1" s="1"/>
  <c r="D1536" i="1"/>
  <c r="F1524" i="1"/>
  <c r="W1516" i="1"/>
  <c r="Q1516" i="1"/>
  <c r="M1516" i="1"/>
  <c r="AJ1506" i="1"/>
  <c r="AJ1505" i="1"/>
  <c r="AJ1504" i="1"/>
  <c r="AJ1503" i="1"/>
  <c r="AB1503" i="1"/>
  <c r="AA1503" i="1"/>
  <c r="X1503" i="1"/>
  <c r="W1503" i="1"/>
  <c r="V1503" i="1"/>
  <c r="AO1506" i="1" s="1"/>
  <c r="U1503" i="1"/>
  <c r="T1503" i="1"/>
  <c r="S1503" i="1"/>
  <c r="R1503" i="1"/>
  <c r="Y1503" i="1" s="1"/>
  <c r="Q1503" i="1"/>
  <c r="P1503" i="1"/>
  <c r="AM1506" i="1" s="1"/>
  <c r="O1503" i="1"/>
  <c r="AL1506" i="1" s="1"/>
  <c r="N1503" i="1"/>
  <c r="M1503" i="1"/>
  <c r="L1503" i="1"/>
  <c r="K1503" i="1"/>
  <c r="J1503" i="1"/>
  <c r="I1503" i="1"/>
  <c r="G1503" i="1"/>
  <c r="F1503" i="1"/>
  <c r="E1503" i="1"/>
  <c r="AG1506" i="1" s="1"/>
  <c r="D1503" i="1"/>
  <c r="AF1506" i="1" s="1"/>
  <c r="AN1502" i="1"/>
  <c r="AP1502" i="1" s="1"/>
  <c r="AB1502" i="1"/>
  <c r="AA1502" i="1"/>
  <c r="X1502" i="1"/>
  <c r="W1502" i="1"/>
  <c r="V1502" i="1"/>
  <c r="AO1505" i="1" s="1"/>
  <c r="U1502" i="1"/>
  <c r="T1502" i="1"/>
  <c r="S1502" i="1"/>
  <c r="R1502" i="1"/>
  <c r="Y1502" i="1" s="1"/>
  <c r="Q1502" i="1"/>
  <c r="P1502" i="1"/>
  <c r="AM1505" i="1" s="1"/>
  <c r="O1502" i="1"/>
  <c r="AL1505" i="1" s="1"/>
  <c r="N1502" i="1"/>
  <c r="M1502" i="1"/>
  <c r="L1502" i="1"/>
  <c r="K1502" i="1"/>
  <c r="J1502" i="1"/>
  <c r="I1502" i="1"/>
  <c r="G1502" i="1"/>
  <c r="F1502" i="1"/>
  <c r="AH1505" i="1" s="1"/>
  <c r="E1502" i="1"/>
  <c r="AG1505" i="1" s="1"/>
  <c r="D1502" i="1"/>
  <c r="AF1505" i="1" s="1"/>
  <c r="AS1501" i="1"/>
  <c r="AB1501" i="1"/>
  <c r="AA1501" i="1"/>
  <c r="X1501" i="1"/>
  <c r="W1501" i="1"/>
  <c r="V1501" i="1"/>
  <c r="U1501" i="1"/>
  <c r="T1501" i="1"/>
  <c r="S1501" i="1"/>
  <c r="Q1501" i="1"/>
  <c r="P1501" i="1"/>
  <c r="O1501" i="1"/>
  <c r="N1501" i="1"/>
  <c r="M1501" i="1"/>
  <c r="L1501" i="1"/>
  <c r="K1501" i="1"/>
  <c r="J1501" i="1"/>
  <c r="I1501" i="1"/>
  <c r="H1501" i="1"/>
  <c r="Y1501" i="1" s="1"/>
  <c r="G1501" i="1"/>
  <c r="F1501" i="1"/>
  <c r="E1501" i="1"/>
  <c r="D1501" i="1"/>
  <c r="Z1501" i="1" s="1"/>
  <c r="H1500" i="1"/>
  <c r="Y1500" i="1" s="1"/>
  <c r="Z1500" i="1" s="1"/>
  <c r="D1500" i="1"/>
  <c r="H1499" i="1"/>
  <c r="Y1499" i="1" s="1"/>
  <c r="D1499" i="1"/>
  <c r="H1498" i="1"/>
  <c r="Y1498" i="1" s="1"/>
  <c r="D1498" i="1"/>
  <c r="H1497" i="1"/>
  <c r="D1497" i="1"/>
  <c r="AB1496" i="1"/>
  <c r="AA1496" i="1"/>
  <c r="X1496" i="1"/>
  <c r="W1496" i="1"/>
  <c r="V1496" i="1"/>
  <c r="U1496" i="1"/>
  <c r="T1496" i="1"/>
  <c r="S1496" i="1"/>
  <c r="Q1496" i="1"/>
  <c r="P1496" i="1"/>
  <c r="O1496" i="1"/>
  <c r="N1496" i="1"/>
  <c r="M1496" i="1"/>
  <c r="L1496" i="1"/>
  <c r="K1496" i="1"/>
  <c r="J1496" i="1"/>
  <c r="I1496" i="1"/>
  <c r="H1496" i="1"/>
  <c r="Y1496" i="1" s="1"/>
  <c r="G1496" i="1"/>
  <c r="F1496" i="1"/>
  <c r="E1496" i="1"/>
  <c r="D1496" i="1"/>
  <c r="Y1495" i="1"/>
  <c r="D1495" i="1"/>
  <c r="AB1494" i="1"/>
  <c r="AA1494" i="1"/>
  <c r="X1494" i="1"/>
  <c r="W1494" i="1"/>
  <c r="V1494" i="1"/>
  <c r="U1494" i="1"/>
  <c r="T1494" i="1"/>
  <c r="S1494" i="1"/>
  <c r="R1494" i="1"/>
  <c r="Q1494" i="1"/>
  <c r="P1494" i="1"/>
  <c r="O1494" i="1"/>
  <c r="N1494" i="1"/>
  <c r="M1494" i="1"/>
  <c r="L1494" i="1"/>
  <c r="K1494" i="1"/>
  <c r="J1494" i="1"/>
  <c r="I1494" i="1"/>
  <c r="G1494" i="1"/>
  <c r="F1494" i="1"/>
  <c r="E1494" i="1"/>
  <c r="D1494" i="1"/>
  <c r="AB1489" i="1"/>
  <c r="AA1489" i="1"/>
  <c r="Y1489" i="1"/>
  <c r="X1489" i="1"/>
  <c r="W1489" i="1"/>
  <c r="V1489" i="1"/>
  <c r="U1489" i="1"/>
  <c r="T1489" i="1"/>
  <c r="S1489" i="1"/>
  <c r="Q1489" i="1"/>
  <c r="P1489" i="1"/>
  <c r="O1489" i="1"/>
  <c r="N1489" i="1"/>
  <c r="M1489" i="1"/>
  <c r="L1489" i="1"/>
  <c r="K1489" i="1"/>
  <c r="J1489" i="1"/>
  <c r="I1489" i="1"/>
  <c r="G1489" i="1"/>
  <c r="F1489" i="1"/>
  <c r="E1489" i="1"/>
  <c r="D1489" i="1"/>
  <c r="AB1488" i="1"/>
  <c r="AA1488" i="1"/>
  <c r="Y1488" i="1"/>
  <c r="X1488" i="1"/>
  <c r="W1488" i="1"/>
  <c r="V1488" i="1"/>
  <c r="U1488" i="1"/>
  <c r="T1488" i="1"/>
  <c r="S1488" i="1"/>
  <c r="Q1488" i="1"/>
  <c r="P1488" i="1"/>
  <c r="O1488" i="1"/>
  <c r="N1488" i="1"/>
  <c r="M1488" i="1"/>
  <c r="L1488" i="1"/>
  <c r="K1488" i="1"/>
  <c r="J1488" i="1"/>
  <c r="I1488" i="1"/>
  <c r="G1488" i="1"/>
  <c r="F1488" i="1"/>
  <c r="E1488" i="1"/>
  <c r="D1488" i="1"/>
  <c r="AB1487" i="1"/>
  <c r="AA1487" i="1"/>
  <c r="X1487" i="1"/>
  <c r="W1487" i="1"/>
  <c r="V1487" i="1"/>
  <c r="U1487" i="1"/>
  <c r="T1487" i="1"/>
  <c r="S1487" i="1"/>
  <c r="Q1487" i="1"/>
  <c r="P1487" i="1"/>
  <c r="O1487" i="1"/>
  <c r="N1487" i="1"/>
  <c r="M1487" i="1"/>
  <c r="L1487" i="1"/>
  <c r="K1487" i="1"/>
  <c r="J1487" i="1"/>
  <c r="I1487" i="1"/>
  <c r="H1487" i="1"/>
  <c r="Y1487" i="1" s="1"/>
  <c r="G1487" i="1"/>
  <c r="F1487" i="1"/>
  <c r="E1487" i="1"/>
  <c r="AG1493" i="1" s="1"/>
  <c r="D1487" i="1"/>
  <c r="AB1486" i="1"/>
  <c r="AA1486" i="1"/>
  <c r="X1486" i="1"/>
  <c r="W1486" i="1"/>
  <c r="V1486" i="1"/>
  <c r="U1486" i="1"/>
  <c r="T1486" i="1"/>
  <c r="S1486" i="1"/>
  <c r="Q1486" i="1"/>
  <c r="P1486" i="1"/>
  <c r="O1486" i="1"/>
  <c r="N1486" i="1"/>
  <c r="M1486" i="1"/>
  <c r="L1486" i="1"/>
  <c r="K1486" i="1"/>
  <c r="J1486" i="1"/>
  <c r="I1486" i="1"/>
  <c r="H1486" i="1"/>
  <c r="Y1486" i="1" s="1"/>
  <c r="G1486" i="1"/>
  <c r="F1486" i="1"/>
  <c r="E1486" i="1"/>
  <c r="D1486" i="1"/>
  <c r="H1485" i="1"/>
  <c r="Y1485" i="1" s="1"/>
  <c r="D1485" i="1"/>
  <c r="H1484" i="1"/>
  <c r="Y1484" i="1" s="1"/>
  <c r="D1484" i="1"/>
  <c r="AB1483" i="1"/>
  <c r="AA1483" i="1"/>
  <c r="X1483" i="1"/>
  <c r="W1483" i="1"/>
  <c r="V1483" i="1"/>
  <c r="U1483" i="1"/>
  <c r="T1483" i="1"/>
  <c r="S1483" i="1"/>
  <c r="Q1483" i="1"/>
  <c r="P1483" i="1"/>
  <c r="O1483" i="1"/>
  <c r="N1483" i="1"/>
  <c r="M1483" i="1"/>
  <c r="L1483" i="1"/>
  <c r="K1483" i="1"/>
  <c r="J1483" i="1"/>
  <c r="I1483" i="1"/>
  <c r="H1483" i="1"/>
  <c r="Y1483" i="1" s="1"/>
  <c r="G1483" i="1"/>
  <c r="F1483" i="1"/>
  <c r="E1483" i="1"/>
  <c r="D1483" i="1"/>
  <c r="AB1482" i="1"/>
  <c r="AA1482" i="1"/>
  <c r="X1482" i="1"/>
  <c r="W1482" i="1"/>
  <c r="V1482" i="1"/>
  <c r="U1482" i="1"/>
  <c r="T1482" i="1"/>
  <c r="S1482" i="1"/>
  <c r="R1482" i="1"/>
  <c r="R1491" i="1" s="1"/>
  <c r="Q1482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AB1477" i="1"/>
  <c r="AA1477" i="1"/>
  <c r="Y1477" i="1"/>
  <c r="X1477" i="1"/>
  <c r="W1477" i="1"/>
  <c r="V1477" i="1"/>
  <c r="U1477" i="1"/>
  <c r="T1477" i="1"/>
  <c r="S1477" i="1"/>
  <c r="Q1477" i="1"/>
  <c r="P1477" i="1"/>
  <c r="O1477" i="1"/>
  <c r="N1477" i="1"/>
  <c r="M1477" i="1"/>
  <c r="L1477" i="1"/>
  <c r="K1477" i="1"/>
  <c r="J1477" i="1"/>
  <c r="I1477" i="1"/>
  <c r="G1477" i="1"/>
  <c r="F1477" i="1"/>
  <c r="E1477" i="1"/>
  <c r="D1477" i="1"/>
  <c r="AB1476" i="1"/>
  <c r="AA1476" i="1"/>
  <c r="Y1476" i="1"/>
  <c r="X1476" i="1"/>
  <c r="W1476" i="1"/>
  <c r="V1476" i="1"/>
  <c r="U1476" i="1"/>
  <c r="T1476" i="1"/>
  <c r="S1476" i="1"/>
  <c r="Q1476" i="1"/>
  <c r="P1476" i="1"/>
  <c r="O1476" i="1"/>
  <c r="N1476" i="1"/>
  <c r="M1476" i="1"/>
  <c r="L1476" i="1"/>
  <c r="K1476" i="1"/>
  <c r="J1476" i="1"/>
  <c r="I1476" i="1"/>
  <c r="G1476" i="1"/>
  <c r="F1476" i="1"/>
  <c r="E1476" i="1"/>
  <c r="D1476" i="1"/>
  <c r="Y1475" i="1"/>
  <c r="D1475" i="1"/>
  <c r="H1474" i="1"/>
  <c r="Y1474" i="1" s="1"/>
  <c r="D1474" i="1"/>
  <c r="AB1473" i="1"/>
  <c r="AA1473" i="1"/>
  <c r="X1473" i="1"/>
  <c r="W1473" i="1"/>
  <c r="V1473" i="1"/>
  <c r="U1473" i="1"/>
  <c r="T1473" i="1"/>
  <c r="S1473" i="1"/>
  <c r="Q1473" i="1"/>
  <c r="P1473" i="1"/>
  <c r="O1473" i="1"/>
  <c r="N1473" i="1"/>
  <c r="M1473" i="1"/>
  <c r="L1473" i="1"/>
  <c r="K1473" i="1"/>
  <c r="J1473" i="1"/>
  <c r="I1473" i="1"/>
  <c r="H1473" i="1"/>
  <c r="Y1473" i="1" s="1"/>
  <c r="G1473" i="1"/>
  <c r="F1473" i="1"/>
  <c r="E1473" i="1"/>
  <c r="D1473" i="1"/>
  <c r="AB1472" i="1"/>
  <c r="AA1472" i="1"/>
  <c r="X1472" i="1"/>
  <c r="W1472" i="1"/>
  <c r="V1472" i="1"/>
  <c r="U1472" i="1"/>
  <c r="T1472" i="1"/>
  <c r="S1472" i="1"/>
  <c r="R1472" i="1"/>
  <c r="R1479" i="1" s="1"/>
  <c r="Q1472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AB1467" i="1"/>
  <c r="AA1467" i="1"/>
  <c r="Y1467" i="1"/>
  <c r="Z1467" i="1" s="1"/>
  <c r="X1467" i="1"/>
  <c r="W1467" i="1"/>
  <c r="V1467" i="1"/>
  <c r="U1467" i="1"/>
  <c r="T1467" i="1"/>
  <c r="S1467" i="1"/>
  <c r="Q1467" i="1"/>
  <c r="P1467" i="1"/>
  <c r="O1467" i="1"/>
  <c r="AL1503" i="1" s="1"/>
  <c r="N1467" i="1"/>
  <c r="M1467" i="1"/>
  <c r="L1467" i="1"/>
  <c r="K1467" i="1"/>
  <c r="J1467" i="1"/>
  <c r="I1467" i="1"/>
  <c r="G1467" i="1"/>
  <c r="F1467" i="1"/>
  <c r="AH1503" i="1" s="1"/>
  <c r="E1467" i="1"/>
  <c r="AB1466" i="1"/>
  <c r="AA1466" i="1"/>
  <c r="X1466" i="1"/>
  <c r="W1466" i="1"/>
  <c r="V1466" i="1"/>
  <c r="U1466" i="1"/>
  <c r="T1466" i="1"/>
  <c r="S1466" i="1"/>
  <c r="Q1466" i="1"/>
  <c r="P1466" i="1"/>
  <c r="O1466" i="1"/>
  <c r="N1466" i="1"/>
  <c r="M1466" i="1"/>
  <c r="L1466" i="1"/>
  <c r="K1466" i="1"/>
  <c r="J1466" i="1"/>
  <c r="I1466" i="1"/>
  <c r="H1466" i="1"/>
  <c r="Y1466" i="1" s="1"/>
  <c r="G1466" i="1"/>
  <c r="F1466" i="1"/>
  <c r="E1466" i="1"/>
  <c r="AG1501" i="1" s="1"/>
  <c r="D1466" i="1"/>
  <c r="H1465" i="1"/>
  <c r="Y1465" i="1" s="1"/>
  <c r="D1465" i="1"/>
  <c r="H1464" i="1"/>
  <c r="Y1464" i="1" s="1"/>
  <c r="D1464" i="1"/>
  <c r="AB1463" i="1"/>
  <c r="AA1463" i="1"/>
  <c r="X1463" i="1"/>
  <c r="W1463" i="1"/>
  <c r="V1463" i="1"/>
  <c r="U1463" i="1"/>
  <c r="T1463" i="1"/>
  <c r="S1463" i="1"/>
  <c r="Q1463" i="1"/>
  <c r="P1463" i="1"/>
  <c r="AM1492" i="1" s="1"/>
  <c r="O1463" i="1"/>
  <c r="N1463" i="1"/>
  <c r="M1463" i="1"/>
  <c r="L1463" i="1"/>
  <c r="AJ1492" i="1" s="1"/>
  <c r="K1463" i="1"/>
  <c r="J1463" i="1"/>
  <c r="I1463" i="1"/>
  <c r="H1463" i="1"/>
  <c r="Y1463" i="1" s="1"/>
  <c r="G1463" i="1"/>
  <c r="F1463" i="1"/>
  <c r="E1463" i="1"/>
  <c r="AG1492" i="1" s="1"/>
  <c r="D1463" i="1"/>
  <c r="AB1462" i="1"/>
  <c r="AA1462" i="1"/>
  <c r="X1462" i="1"/>
  <c r="W1462" i="1"/>
  <c r="V1462" i="1"/>
  <c r="U1462" i="1"/>
  <c r="T1462" i="1"/>
  <c r="S1462" i="1"/>
  <c r="Q1462" i="1"/>
  <c r="P1462" i="1"/>
  <c r="O1462" i="1"/>
  <c r="N1462" i="1"/>
  <c r="M1462" i="1"/>
  <c r="L1462" i="1"/>
  <c r="K1462" i="1"/>
  <c r="J1462" i="1"/>
  <c r="I1462" i="1"/>
  <c r="H1462" i="1"/>
  <c r="Y1462" i="1" s="1"/>
  <c r="G1462" i="1"/>
  <c r="F1462" i="1"/>
  <c r="E1462" i="1"/>
  <c r="D1462" i="1"/>
  <c r="Z1462" i="1" s="1"/>
  <c r="AB1461" i="1"/>
  <c r="AA1461" i="1"/>
  <c r="X1461" i="1"/>
  <c r="W1461" i="1"/>
  <c r="V1461" i="1"/>
  <c r="U1461" i="1"/>
  <c r="T1461" i="1"/>
  <c r="S1461" i="1"/>
  <c r="Q1461" i="1"/>
  <c r="P1461" i="1"/>
  <c r="AM1502" i="1" s="1"/>
  <c r="O1461" i="1"/>
  <c r="N1461" i="1"/>
  <c r="M1461" i="1"/>
  <c r="L1461" i="1"/>
  <c r="AJ1502" i="1" s="1"/>
  <c r="K1461" i="1"/>
  <c r="J1461" i="1"/>
  <c r="I1461" i="1"/>
  <c r="H1461" i="1"/>
  <c r="Y1461" i="1" s="1"/>
  <c r="G1461" i="1"/>
  <c r="F1461" i="1"/>
  <c r="AH1502" i="1" s="1"/>
  <c r="E1461" i="1"/>
  <c r="AG1502" i="1" s="1"/>
  <c r="AI1502" i="1" s="1"/>
  <c r="D1461" i="1"/>
  <c r="Z1461" i="1" s="1"/>
  <c r="H1460" i="1"/>
  <c r="Y1460" i="1" s="1"/>
  <c r="D1460" i="1"/>
  <c r="AB1459" i="1"/>
  <c r="AA1459" i="1"/>
  <c r="X1459" i="1"/>
  <c r="W1459" i="1"/>
  <c r="V1459" i="1"/>
  <c r="U1459" i="1"/>
  <c r="T1459" i="1"/>
  <c r="S1459" i="1"/>
  <c r="R1459" i="1"/>
  <c r="R1469" i="1" s="1"/>
  <c r="Q1459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AB1453" i="1"/>
  <c r="AA1453" i="1"/>
  <c r="Z1453" i="1"/>
  <c r="X1453" i="1"/>
  <c r="W1453" i="1"/>
  <c r="V1453" i="1"/>
  <c r="U1453" i="1"/>
  <c r="T1453" i="1"/>
  <c r="S1453" i="1"/>
  <c r="R1453" i="1"/>
  <c r="Y1453" i="1" s="1"/>
  <c r="Q1453" i="1"/>
  <c r="P1453" i="1"/>
  <c r="O1453" i="1"/>
  <c r="N1453" i="1"/>
  <c r="M1453" i="1"/>
  <c r="L1453" i="1"/>
  <c r="K1453" i="1"/>
  <c r="J1453" i="1"/>
  <c r="I1453" i="1"/>
  <c r="G1453" i="1"/>
  <c r="F1453" i="1"/>
  <c r="E1453" i="1"/>
  <c r="D1453" i="1"/>
  <c r="AF1452" i="1"/>
  <c r="B1452" i="1"/>
  <c r="AB1449" i="1"/>
  <c r="AA1449" i="1"/>
  <c r="X1449" i="1"/>
  <c r="W1449" i="1"/>
  <c r="V1449" i="1"/>
  <c r="U1449" i="1"/>
  <c r="T1449" i="1"/>
  <c r="S1449" i="1"/>
  <c r="R1449" i="1"/>
  <c r="Y1449" i="1" s="1"/>
  <c r="Q1449" i="1"/>
  <c r="P1449" i="1"/>
  <c r="O1449" i="1"/>
  <c r="N1449" i="1"/>
  <c r="M1449" i="1"/>
  <c r="L1449" i="1"/>
  <c r="K1449" i="1"/>
  <c r="J1449" i="1"/>
  <c r="I1449" i="1"/>
  <c r="G1449" i="1"/>
  <c r="F1449" i="1"/>
  <c r="E1449" i="1"/>
  <c r="D1449" i="1"/>
  <c r="AB1448" i="1"/>
  <c r="AA1448" i="1"/>
  <c r="X1448" i="1"/>
  <c r="W1448" i="1"/>
  <c r="V1448" i="1"/>
  <c r="AO1451" i="1" s="1"/>
  <c r="U1448" i="1"/>
  <c r="T1448" i="1"/>
  <c r="S1448" i="1"/>
  <c r="Q1448" i="1"/>
  <c r="P1448" i="1"/>
  <c r="AM1451" i="1" s="1"/>
  <c r="O1448" i="1"/>
  <c r="AL1451" i="1" s="1"/>
  <c r="N1448" i="1"/>
  <c r="M1448" i="1"/>
  <c r="L1448" i="1"/>
  <c r="AJ1451" i="1" s="1"/>
  <c r="K1448" i="1"/>
  <c r="J1448" i="1"/>
  <c r="I1448" i="1"/>
  <c r="H1448" i="1"/>
  <c r="Y1448" i="1" s="1"/>
  <c r="G1448" i="1"/>
  <c r="F1448" i="1"/>
  <c r="AH1451" i="1" s="1"/>
  <c r="E1448" i="1"/>
  <c r="AG1451" i="1" s="1"/>
  <c r="D1448" i="1"/>
  <c r="AB1447" i="1"/>
  <c r="AA1447" i="1"/>
  <c r="X1447" i="1"/>
  <c r="W1447" i="1"/>
  <c r="V1447" i="1"/>
  <c r="AO1446" i="1" s="1"/>
  <c r="U1447" i="1"/>
  <c r="T1447" i="1"/>
  <c r="S1447" i="1"/>
  <c r="Q1447" i="1"/>
  <c r="P1447" i="1"/>
  <c r="O1447" i="1"/>
  <c r="AL1446" i="1" s="1"/>
  <c r="N1447" i="1"/>
  <c r="M1447" i="1"/>
  <c r="L1447" i="1"/>
  <c r="AJ1446" i="1" s="1"/>
  <c r="K1447" i="1"/>
  <c r="J1447" i="1"/>
  <c r="I1447" i="1"/>
  <c r="H1447" i="1"/>
  <c r="Y1447" i="1" s="1"/>
  <c r="G1447" i="1"/>
  <c r="F1447" i="1"/>
  <c r="AH1446" i="1" s="1"/>
  <c r="E1447" i="1"/>
  <c r="AG1446" i="1" s="1"/>
  <c r="D1447" i="1"/>
  <c r="AF1446" i="1" s="1"/>
  <c r="AM1446" i="1"/>
  <c r="AB1446" i="1"/>
  <c r="AA1446" i="1"/>
  <c r="X1446" i="1"/>
  <c r="W1446" i="1"/>
  <c r="V1446" i="1"/>
  <c r="U1446" i="1"/>
  <c r="T1446" i="1"/>
  <c r="S1446" i="1"/>
  <c r="Q1446" i="1"/>
  <c r="P1446" i="1"/>
  <c r="O1446" i="1"/>
  <c r="N1446" i="1"/>
  <c r="M1446" i="1"/>
  <c r="L1446" i="1"/>
  <c r="K1446" i="1"/>
  <c r="J1446" i="1"/>
  <c r="I1446" i="1"/>
  <c r="H1446" i="1"/>
  <c r="Y1446" i="1" s="1"/>
  <c r="G1446" i="1"/>
  <c r="F1446" i="1"/>
  <c r="E1446" i="1"/>
  <c r="D1446" i="1"/>
  <c r="AB1445" i="1"/>
  <c r="AA1445" i="1"/>
  <c r="X1445" i="1"/>
  <c r="W1445" i="1"/>
  <c r="V1445" i="1"/>
  <c r="U1445" i="1"/>
  <c r="T1445" i="1"/>
  <c r="S1445" i="1"/>
  <c r="R1445" i="1"/>
  <c r="Q1445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R1442" i="1"/>
  <c r="AB1440" i="1"/>
  <c r="AA1440" i="1"/>
  <c r="Y1440" i="1"/>
  <c r="Z1440" i="1" s="1"/>
  <c r="X1440" i="1"/>
  <c r="W1440" i="1"/>
  <c r="V1440" i="1"/>
  <c r="U1440" i="1"/>
  <c r="T1440" i="1"/>
  <c r="S1440" i="1"/>
  <c r="Q1440" i="1"/>
  <c r="P1440" i="1"/>
  <c r="O1440" i="1"/>
  <c r="N1440" i="1"/>
  <c r="M1440" i="1"/>
  <c r="L1440" i="1"/>
  <c r="K1440" i="1"/>
  <c r="J1440" i="1"/>
  <c r="I1440" i="1"/>
  <c r="G1440" i="1"/>
  <c r="F1440" i="1"/>
  <c r="E1440" i="1"/>
  <c r="AB1439" i="1"/>
  <c r="AA1439" i="1"/>
  <c r="Y1439" i="1"/>
  <c r="Z1439" i="1" s="1"/>
  <c r="X1439" i="1"/>
  <c r="W1439" i="1"/>
  <c r="V1439" i="1"/>
  <c r="U1439" i="1"/>
  <c r="T1439" i="1"/>
  <c r="S1439" i="1"/>
  <c r="Q1439" i="1"/>
  <c r="P1439" i="1"/>
  <c r="O1439" i="1"/>
  <c r="N1439" i="1"/>
  <c r="M1439" i="1"/>
  <c r="L1439" i="1"/>
  <c r="K1439" i="1"/>
  <c r="J1439" i="1"/>
  <c r="I1439" i="1"/>
  <c r="G1439" i="1"/>
  <c r="F1439" i="1"/>
  <c r="E1439" i="1"/>
  <c r="AB1438" i="1"/>
  <c r="AA1438" i="1"/>
  <c r="Y1438" i="1"/>
  <c r="Z1438" i="1" s="1"/>
  <c r="X1438" i="1"/>
  <c r="W1438" i="1"/>
  <c r="V1438" i="1"/>
  <c r="AO1452" i="1" s="1"/>
  <c r="U1438" i="1"/>
  <c r="T1438" i="1"/>
  <c r="S1438" i="1"/>
  <c r="Q1438" i="1"/>
  <c r="P1438" i="1"/>
  <c r="AM1452" i="1" s="1"/>
  <c r="O1438" i="1"/>
  <c r="AL1452" i="1" s="1"/>
  <c r="N1438" i="1"/>
  <c r="M1438" i="1"/>
  <c r="L1438" i="1"/>
  <c r="K1438" i="1"/>
  <c r="J1438" i="1"/>
  <c r="I1438" i="1"/>
  <c r="G1438" i="1"/>
  <c r="F1438" i="1"/>
  <c r="AH1452" i="1" s="1"/>
  <c r="E1438" i="1"/>
  <c r="AG1452" i="1" s="1"/>
  <c r="AB1437" i="1"/>
  <c r="AA1437" i="1"/>
  <c r="X1437" i="1"/>
  <c r="W1437" i="1"/>
  <c r="V1437" i="1"/>
  <c r="U1437" i="1"/>
  <c r="T1437" i="1"/>
  <c r="S1437" i="1"/>
  <c r="Q1437" i="1"/>
  <c r="P1437" i="1"/>
  <c r="O1437" i="1"/>
  <c r="N1437" i="1"/>
  <c r="M1437" i="1"/>
  <c r="L1437" i="1"/>
  <c r="K1437" i="1"/>
  <c r="J1437" i="1"/>
  <c r="I1437" i="1"/>
  <c r="H1437" i="1"/>
  <c r="Y1437" i="1" s="1"/>
  <c r="G1437" i="1"/>
  <c r="F1437" i="1"/>
  <c r="E1437" i="1"/>
  <c r="D1437" i="1"/>
  <c r="AB1436" i="1"/>
  <c r="AA1436" i="1"/>
  <c r="X1436" i="1"/>
  <c r="W1436" i="1"/>
  <c r="V1436" i="1"/>
  <c r="U1436" i="1"/>
  <c r="T1436" i="1"/>
  <c r="S1436" i="1"/>
  <c r="S1442" i="1" s="1"/>
  <c r="Q1436" i="1"/>
  <c r="P1436" i="1"/>
  <c r="O1436" i="1"/>
  <c r="N1436" i="1"/>
  <c r="M1436" i="1"/>
  <c r="L1436" i="1"/>
  <c r="K1436" i="1"/>
  <c r="J1436" i="1"/>
  <c r="J1442" i="1" s="1"/>
  <c r="I1436" i="1"/>
  <c r="H1436" i="1"/>
  <c r="Y1436" i="1" s="1"/>
  <c r="G1436" i="1"/>
  <c r="F1436" i="1"/>
  <c r="AH1447" i="1" s="1"/>
  <c r="E1436" i="1"/>
  <c r="D1436" i="1"/>
  <c r="AB1435" i="1"/>
  <c r="AA1435" i="1"/>
  <c r="AA1442" i="1" s="1"/>
  <c r="X1435" i="1"/>
  <c r="W1435" i="1"/>
  <c r="V1435" i="1"/>
  <c r="U1435" i="1"/>
  <c r="U1442" i="1" s="1"/>
  <c r="T1435" i="1"/>
  <c r="S1435" i="1"/>
  <c r="Q1435" i="1"/>
  <c r="P1435" i="1"/>
  <c r="P1442" i="1" s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D1442" i="1" s="1"/>
  <c r="AB1430" i="1"/>
  <c r="AA1430" i="1"/>
  <c r="X1430" i="1"/>
  <c r="W1430" i="1"/>
  <c r="V1430" i="1"/>
  <c r="AO1450" i="1" s="1"/>
  <c r="U1430" i="1"/>
  <c r="T1430" i="1"/>
  <c r="S1430" i="1"/>
  <c r="Q1430" i="1"/>
  <c r="P1430" i="1"/>
  <c r="AM1450" i="1" s="1"/>
  <c r="O1430" i="1"/>
  <c r="AL1450" i="1" s="1"/>
  <c r="N1430" i="1"/>
  <c r="M1430" i="1"/>
  <c r="L1430" i="1"/>
  <c r="AJ1450" i="1" s="1"/>
  <c r="K1430" i="1"/>
  <c r="J1430" i="1"/>
  <c r="I1430" i="1"/>
  <c r="H1430" i="1"/>
  <c r="Y1430" i="1" s="1"/>
  <c r="G1430" i="1"/>
  <c r="F1430" i="1"/>
  <c r="AH1450" i="1" s="1"/>
  <c r="E1430" i="1"/>
  <c r="AG1450" i="1" s="1"/>
  <c r="D1430" i="1"/>
  <c r="C1430" i="1"/>
  <c r="AB1429" i="1"/>
  <c r="AA1429" i="1"/>
  <c r="X1429" i="1"/>
  <c r="W1429" i="1"/>
  <c r="V1429" i="1"/>
  <c r="AO1449" i="1" s="1"/>
  <c r="U1429" i="1"/>
  <c r="T1429" i="1"/>
  <c r="S1429" i="1"/>
  <c r="R1429" i="1"/>
  <c r="Y1429" i="1" s="1"/>
  <c r="Q1429" i="1"/>
  <c r="P1429" i="1"/>
  <c r="O1429" i="1"/>
  <c r="N1429" i="1"/>
  <c r="M1429" i="1"/>
  <c r="L1429" i="1"/>
  <c r="K1429" i="1"/>
  <c r="J1429" i="1"/>
  <c r="I1429" i="1"/>
  <c r="G1429" i="1"/>
  <c r="F1429" i="1"/>
  <c r="E1429" i="1"/>
  <c r="AG1449" i="1" s="1"/>
  <c r="D1429" i="1"/>
  <c r="AF1449" i="1" s="1"/>
  <c r="AB1428" i="1"/>
  <c r="AA1428" i="1"/>
  <c r="X1428" i="1"/>
  <c r="W1428" i="1"/>
  <c r="V1428" i="1"/>
  <c r="U1428" i="1"/>
  <c r="T1428" i="1"/>
  <c r="S1428" i="1"/>
  <c r="R1428" i="1"/>
  <c r="Y1428" i="1" s="1"/>
  <c r="Q1428" i="1"/>
  <c r="P1428" i="1"/>
  <c r="AM1448" i="1" s="1"/>
  <c r="O1428" i="1"/>
  <c r="N1428" i="1"/>
  <c r="M1428" i="1"/>
  <c r="L1428" i="1"/>
  <c r="AJ1448" i="1" s="1"/>
  <c r="K1428" i="1"/>
  <c r="J1428" i="1"/>
  <c r="I1428" i="1"/>
  <c r="G1428" i="1"/>
  <c r="F1428" i="1"/>
  <c r="E1428" i="1"/>
  <c r="D1428" i="1"/>
  <c r="AF1448" i="1" s="1"/>
  <c r="H1427" i="1"/>
  <c r="Y1427" i="1" s="1"/>
  <c r="D1427" i="1"/>
  <c r="H1426" i="1"/>
  <c r="Y1426" i="1" s="1"/>
  <c r="D1426" i="1"/>
  <c r="H1425" i="1"/>
  <c r="Y1425" i="1" s="1"/>
  <c r="D1425" i="1"/>
  <c r="AB1424" i="1"/>
  <c r="AA1424" i="1"/>
  <c r="X1424" i="1"/>
  <c r="W1424" i="1"/>
  <c r="V1424" i="1"/>
  <c r="U1424" i="1"/>
  <c r="T1424" i="1"/>
  <c r="S1424" i="1"/>
  <c r="Q1424" i="1"/>
  <c r="P1424" i="1"/>
  <c r="O1424" i="1"/>
  <c r="N1424" i="1"/>
  <c r="M1424" i="1"/>
  <c r="L1424" i="1"/>
  <c r="K1424" i="1"/>
  <c r="J1424" i="1"/>
  <c r="I1424" i="1"/>
  <c r="H1424" i="1"/>
  <c r="Y1424" i="1" s="1"/>
  <c r="G1424" i="1"/>
  <c r="F1424" i="1"/>
  <c r="E1424" i="1"/>
  <c r="D1424" i="1"/>
  <c r="AB1423" i="1"/>
  <c r="AA1423" i="1"/>
  <c r="X1423" i="1"/>
  <c r="W1423" i="1"/>
  <c r="V1423" i="1"/>
  <c r="AO1444" i="1" s="1"/>
  <c r="U1423" i="1"/>
  <c r="T1423" i="1"/>
  <c r="S1423" i="1"/>
  <c r="Q1423" i="1"/>
  <c r="P1423" i="1"/>
  <c r="AM1444" i="1" s="1"/>
  <c r="O1423" i="1"/>
  <c r="AL1444" i="1" s="1"/>
  <c r="N1423" i="1"/>
  <c r="M1423" i="1"/>
  <c r="L1423" i="1"/>
  <c r="K1423" i="1"/>
  <c r="J1423" i="1"/>
  <c r="I1423" i="1"/>
  <c r="H1423" i="1"/>
  <c r="Y1423" i="1" s="1"/>
  <c r="G1423" i="1"/>
  <c r="F1423" i="1"/>
  <c r="AH1444" i="1" s="1"/>
  <c r="E1423" i="1"/>
  <c r="AG1444" i="1" s="1"/>
  <c r="AI1444" i="1" s="1"/>
  <c r="D1423" i="1"/>
  <c r="AF1444" i="1" s="1"/>
  <c r="AB1422" i="1"/>
  <c r="AA1422" i="1"/>
  <c r="X1422" i="1"/>
  <c r="W1422" i="1"/>
  <c r="V1422" i="1"/>
  <c r="U1422" i="1"/>
  <c r="T1422" i="1"/>
  <c r="S1422" i="1"/>
  <c r="Q1422" i="1"/>
  <c r="P1422" i="1"/>
  <c r="O1422" i="1"/>
  <c r="AL1447" i="1" s="1"/>
  <c r="N1422" i="1"/>
  <c r="M1422" i="1"/>
  <c r="L1422" i="1"/>
  <c r="K1422" i="1"/>
  <c r="J1422" i="1"/>
  <c r="I1422" i="1"/>
  <c r="H1422" i="1"/>
  <c r="G1422" i="1"/>
  <c r="F1422" i="1"/>
  <c r="E1422" i="1"/>
  <c r="D1422" i="1"/>
  <c r="AB1421" i="1"/>
  <c r="AB1432" i="1" s="1"/>
  <c r="AA1421" i="1"/>
  <c r="X1421" i="1"/>
  <c r="W1421" i="1"/>
  <c r="V1421" i="1"/>
  <c r="U1421" i="1"/>
  <c r="T1421" i="1"/>
  <c r="S1421" i="1"/>
  <c r="R1421" i="1"/>
  <c r="R1432" i="1" s="1"/>
  <c r="Q1421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AJ1413" i="1"/>
  <c r="AF1413" i="1"/>
  <c r="AB1411" i="1"/>
  <c r="AA1411" i="1"/>
  <c r="X1411" i="1"/>
  <c r="W1411" i="1"/>
  <c r="V1411" i="1"/>
  <c r="U1411" i="1"/>
  <c r="T1411" i="1"/>
  <c r="S1411" i="1"/>
  <c r="R1411" i="1"/>
  <c r="Q1411" i="1"/>
  <c r="P1411" i="1"/>
  <c r="O1411" i="1"/>
  <c r="N1411" i="1"/>
  <c r="M1411" i="1"/>
  <c r="L1411" i="1"/>
  <c r="K1411" i="1"/>
  <c r="J1411" i="1"/>
  <c r="I1411" i="1"/>
  <c r="G1411" i="1"/>
  <c r="F1411" i="1"/>
  <c r="E1411" i="1"/>
  <c r="AB1410" i="1"/>
  <c r="AA1410" i="1"/>
  <c r="Y1410" i="1"/>
  <c r="Z1410" i="1" s="1"/>
  <c r="X1410" i="1"/>
  <c r="W1410" i="1"/>
  <c r="V1410" i="1"/>
  <c r="AO1413" i="1" s="1"/>
  <c r="U1410" i="1"/>
  <c r="T1410" i="1"/>
  <c r="S1410" i="1"/>
  <c r="Q1410" i="1"/>
  <c r="P1410" i="1"/>
  <c r="AM1413" i="1" s="1"/>
  <c r="O1410" i="1"/>
  <c r="AL1413" i="1" s="1"/>
  <c r="N1410" i="1"/>
  <c r="M1410" i="1"/>
  <c r="L1410" i="1"/>
  <c r="K1410" i="1"/>
  <c r="J1410" i="1"/>
  <c r="I1410" i="1"/>
  <c r="G1410" i="1"/>
  <c r="F1410" i="1"/>
  <c r="AH1413" i="1" s="1"/>
  <c r="E1410" i="1"/>
  <c r="AG1413" i="1" s="1"/>
  <c r="AI1413" i="1" s="1"/>
  <c r="AB1409" i="1"/>
  <c r="AA1409" i="1"/>
  <c r="X1409" i="1"/>
  <c r="W1409" i="1"/>
  <c r="V1409" i="1"/>
  <c r="U1409" i="1"/>
  <c r="T1409" i="1"/>
  <c r="S1409" i="1"/>
  <c r="Q1409" i="1"/>
  <c r="P1409" i="1"/>
  <c r="O1409" i="1"/>
  <c r="N1409" i="1"/>
  <c r="M1409" i="1"/>
  <c r="L1409" i="1"/>
  <c r="K1409" i="1"/>
  <c r="J1409" i="1"/>
  <c r="I1409" i="1"/>
  <c r="H1409" i="1"/>
  <c r="Y1409" i="1" s="1"/>
  <c r="G1409" i="1"/>
  <c r="F1409" i="1"/>
  <c r="E1409" i="1"/>
  <c r="D1409" i="1"/>
  <c r="R1408" i="1"/>
  <c r="H1408" i="1"/>
  <c r="D1408" i="1"/>
  <c r="AS1403" i="1"/>
  <c r="P1403" i="1"/>
  <c r="AR1402" i="1"/>
  <c r="AK1402" i="1"/>
  <c r="AP1401" i="1"/>
  <c r="AF1401" i="1"/>
  <c r="AB1399" i="1"/>
  <c r="AA1399" i="1"/>
  <c r="X1399" i="1"/>
  <c r="W1399" i="1"/>
  <c r="V1399" i="1"/>
  <c r="AO1412" i="1" s="1"/>
  <c r="U1399" i="1"/>
  <c r="T1399" i="1"/>
  <c r="S1399" i="1"/>
  <c r="Q1399" i="1"/>
  <c r="P1399" i="1"/>
  <c r="AM1412" i="1" s="1"/>
  <c r="O1399" i="1"/>
  <c r="AL1412" i="1" s="1"/>
  <c r="N1399" i="1"/>
  <c r="M1399" i="1"/>
  <c r="L1399" i="1"/>
  <c r="AJ1412" i="1" s="1"/>
  <c r="K1399" i="1"/>
  <c r="J1399" i="1"/>
  <c r="I1399" i="1"/>
  <c r="H1399" i="1"/>
  <c r="Y1399" i="1" s="1"/>
  <c r="G1399" i="1"/>
  <c r="F1399" i="1"/>
  <c r="AH1412" i="1" s="1"/>
  <c r="E1399" i="1"/>
  <c r="AG1412" i="1" s="1"/>
  <c r="D1399" i="1"/>
  <c r="AF1412" i="1" s="1"/>
  <c r="AB1398" i="1"/>
  <c r="AA1398" i="1"/>
  <c r="X1398" i="1"/>
  <c r="W1398" i="1"/>
  <c r="V1398" i="1"/>
  <c r="U1398" i="1"/>
  <c r="T1398" i="1"/>
  <c r="S1398" i="1"/>
  <c r="Q1398" i="1"/>
  <c r="P1398" i="1"/>
  <c r="O1398" i="1"/>
  <c r="N1398" i="1"/>
  <c r="M1398" i="1"/>
  <c r="L1398" i="1"/>
  <c r="K1398" i="1"/>
  <c r="J1398" i="1"/>
  <c r="I1398" i="1"/>
  <c r="H1398" i="1"/>
  <c r="Y1398" i="1" s="1"/>
  <c r="G1398" i="1"/>
  <c r="F1398" i="1"/>
  <c r="E1398" i="1"/>
  <c r="D1398" i="1"/>
  <c r="H1397" i="1"/>
  <c r="Y1397" i="1" s="1"/>
  <c r="D1397" i="1"/>
  <c r="H1396" i="1"/>
  <c r="Y1396" i="1" s="1"/>
  <c r="D1396" i="1"/>
  <c r="R1395" i="1"/>
  <c r="Y1395" i="1" s="1"/>
  <c r="D1395" i="1"/>
  <c r="H1394" i="1"/>
  <c r="Y1394" i="1" s="1"/>
  <c r="D1394" i="1"/>
  <c r="AB1393" i="1"/>
  <c r="AA1393" i="1"/>
  <c r="X1393" i="1"/>
  <c r="W1393" i="1"/>
  <c r="V1393" i="1"/>
  <c r="U1393" i="1"/>
  <c r="T1393" i="1"/>
  <c r="S1393" i="1"/>
  <c r="R1393" i="1"/>
  <c r="Y1393" i="1" s="1"/>
  <c r="Q1393" i="1"/>
  <c r="P1393" i="1"/>
  <c r="O1393" i="1"/>
  <c r="N1393" i="1"/>
  <c r="M1393" i="1"/>
  <c r="L1393" i="1"/>
  <c r="K1393" i="1"/>
  <c r="J1393" i="1"/>
  <c r="I1393" i="1"/>
  <c r="G1393" i="1"/>
  <c r="F1393" i="1"/>
  <c r="E1393" i="1"/>
  <c r="D1393" i="1"/>
  <c r="R1390" i="1"/>
  <c r="H1390" i="1"/>
  <c r="AB1388" i="1"/>
  <c r="AA1388" i="1"/>
  <c r="Y1388" i="1"/>
  <c r="Z1388" i="1" s="1"/>
  <c r="AR1401" i="1" s="1"/>
  <c r="X1388" i="1"/>
  <c r="W1388" i="1"/>
  <c r="V1388" i="1"/>
  <c r="AO1401" i="1" s="1"/>
  <c r="U1388" i="1"/>
  <c r="T1388" i="1"/>
  <c r="S1388" i="1"/>
  <c r="Q1388" i="1"/>
  <c r="P1388" i="1"/>
  <c r="AM1401" i="1" s="1"/>
  <c r="O1388" i="1"/>
  <c r="AL1401" i="1" s="1"/>
  <c r="N1388" i="1"/>
  <c r="M1388" i="1"/>
  <c r="L1388" i="1"/>
  <c r="AJ1401" i="1" s="1"/>
  <c r="K1388" i="1"/>
  <c r="J1388" i="1"/>
  <c r="I1388" i="1"/>
  <c r="G1388" i="1"/>
  <c r="F1388" i="1"/>
  <c r="AH1401" i="1" s="1"/>
  <c r="E1388" i="1"/>
  <c r="AG1401" i="1" s="1"/>
  <c r="AB1387" i="1"/>
  <c r="AB1390" i="1" s="1"/>
  <c r="AA1387" i="1"/>
  <c r="Y1387" i="1"/>
  <c r="X1387" i="1"/>
  <c r="W1387" i="1"/>
  <c r="V1387" i="1"/>
  <c r="U1387" i="1"/>
  <c r="T1387" i="1"/>
  <c r="S1387" i="1"/>
  <c r="S1390" i="1" s="1"/>
  <c r="Q1387" i="1"/>
  <c r="P1387" i="1"/>
  <c r="O1387" i="1"/>
  <c r="N1387" i="1"/>
  <c r="N1390" i="1" s="1"/>
  <c r="M1387" i="1"/>
  <c r="L1387" i="1"/>
  <c r="K1387" i="1"/>
  <c r="K1390" i="1" s="1"/>
  <c r="J1387" i="1"/>
  <c r="J1390" i="1" s="1"/>
  <c r="I1387" i="1"/>
  <c r="G1387" i="1"/>
  <c r="F1387" i="1"/>
  <c r="E1387" i="1"/>
  <c r="E1390" i="1" s="1"/>
  <c r="D1387" i="1"/>
  <c r="R1384" i="1"/>
  <c r="AB1382" i="1"/>
  <c r="AA1382" i="1"/>
  <c r="X1382" i="1"/>
  <c r="W1382" i="1"/>
  <c r="V1382" i="1"/>
  <c r="U1382" i="1"/>
  <c r="T1382" i="1"/>
  <c r="S1382" i="1"/>
  <c r="Q1382" i="1"/>
  <c r="P1382" i="1"/>
  <c r="O1382" i="1"/>
  <c r="N1382" i="1"/>
  <c r="M1382" i="1"/>
  <c r="L1382" i="1"/>
  <c r="K1382" i="1"/>
  <c r="J1382" i="1"/>
  <c r="I1382" i="1"/>
  <c r="H1382" i="1"/>
  <c r="H1384" i="1" s="1"/>
  <c r="G1382" i="1"/>
  <c r="F1382" i="1"/>
  <c r="E1382" i="1"/>
  <c r="D1382" i="1"/>
  <c r="AB1381" i="1"/>
  <c r="AA1381" i="1"/>
  <c r="Y1381" i="1"/>
  <c r="X1381" i="1"/>
  <c r="W1381" i="1"/>
  <c r="V1381" i="1"/>
  <c r="U1381" i="1"/>
  <c r="T1381" i="1"/>
  <c r="S1381" i="1"/>
  <c r="Q1381" i="1"/>
  <c r="P1381" i="1"/>
  <c r="O1381" i="1"/>
  <c r="N1381" i="1"/>
  <c r="M1381" i="1"/>
  <c r="L1381" i="1"/>
  <c r="K1381" i="1"/>
  <c r="J1381" i="1"/>
  <c r="I1381" i="1"/>
  <c r="G1381" i="1"/>
  <c r="F1381" i="1"/>
  <c r="E1381" i="1"/>
  <c r="D1381" i="1"/>
  <c r="AB1376" i="1"/>
  <c r="AA1376" i="1"/>
  <c r="X1376" i="1"/>
  <c r="W1376" i="1"/>
  <c r="V1376" i="1"/>
  <c r="AO1411" i="1" s="1"/>
  <c r="U1376" i="1"/>
  <c r="T1376" i="1"/>
  <c r="S1376" i="1"/>
  <c r="R1376" i="1"/>
  <c r="Y1376" i="1" s="1"/>
  <c r="Q1376" i="1"/>
  <c r="P1376" i="1"/>
  <c r="AM1411" i="1" s="1"/>
  <c r="O1376" i="1"/>
  <c r="AL1411" i="1" s="1"/>
  <c r="N1376" i="1"/>
  <c r="M1376" i="1"/>
  <c r="L1376" i="1"/>
  <c r="AJ1411" i="1" s="1"/>
  <c r="K1376" i="1"/>
  <c r="J1376" i="1"/>
  <c r="I1376" i="1"/>
  <c r="G1376" i="1"/>
  <c r="F1376" i="1"/>
  <c r="AH1411" i="1" s="1"/>
  <c r="E1376" i="1"/>
  <c r="AG1411" i="1" s="1"/>
  <c r="D1376" i="1"/>
  <c r="AB1375" i="1"/>
  <c r="AA1375" i="1"/>
  <c r="X1375" i="1"/>
  <c r="W1375" i="1"/>
  <c r="V1375" i="1"/>
  <c r="U1375" i="1"/>
  <c r="T1375" i="1"/>
  <c r="S1375" i="1"/>
  <c r="R1375" i="1"/>
  <c r="Y1375" i="1" s="1"/>
  <c r="Q1375" i="1"/>
  <c r="P1375" i="1"/>
  <c r="O1375" i="1"/>
  <c r="N1375" i="1"/>
  <c r="M1375" i="1"/>
  <c r="L1375" i="1"/>
  <c r="K1375" i="1"/>
  <c r="J1375" i="1"/>
  <c r="I1375" i="1"/>
  <c r="G1375" i="1"/>
  <c r="F1375" i="1"/>
  <c r="AH1409" i="1" s="1"/>
  <c r="E1375" i="1"/>
  <c r="D1375" i="1"/>
  <c r="H1374" i="1"/>
  <c r="Y1374" i="1" s="1"/>
  <c r="D1374" i="1"/>
  <c r="H1373" i="1"/>
  <c r="Y1373" i="1" s="1"/>
  <c r="D1373" i="1"/>
  <c r="AB1372" i="1"/>
  <c r="AA1372" i="1"/>
  <c r="X1372" i="1"/>
  <c r="W1372" i="1"/>
  <c r="V1372" i="1"/>
  <c r="AO1410" i="1" s="1"/>
  <c r="U1372" i="1"/>
  <c r="T1372" i="1"/>
  <c r="S1372" i="1"/>
  <c r="R1372" i="1"/>
  <c r="Y1372" i="1" s="1"/>
  <c r="Q1372" i="1"/>
  <c r="P1372" i="1"/>
  <c r="AM1410" i="1" s="1"/>
  <c r="O1372" i="1"/>
  <c r="AL1410" i="1" s="1"/>
  <c r="N1372" i="1"/>
  <c r="M1372" i="1"/>
  <c r="L1372" i="1"/>
  <c r="AJ1410" i="1" s="1"/>
  <c r="K1372" i="1"/>
  <c r="J1372" i="1"/>
  <c r="I1372" i="1"/>
  <c r="G1372" i="1"/>
  <c r="F1372" i="1"/>
  <c r="AH1410" i="1" s="1"/>
  <c r="E1372" i="1"/>
  <c r="AG1410" i="1" s="1"/>
  <c r="D1372" i="1"/>
  <c r="AB1371" i="1"/>
  <c r="AA1371" i="1"/>
  <c r="X1371" i="1"/>
  <c r="W1371" i="1"/>
  <c r="V1371" i="1"/>
  <c r="U1371" i="1"/>
  <c r="T1371" i="1"/>
  <c r="S1371" i="1"/>
  <c r="Q1371" i="1"/>
  <c r="P1371" i="1"/>
  <c r="O1371" i="1"/>
  <c r="N1371" i="1"/>
  <c r="M1371" i="1"/>
  <c r="L1371" i="1"/>
  <c r="K1371" i="1"/>
  <c r="J1371" i="1"/>
  <c r="I1371" i="1"/>
  <c r="H1371" i="1"/>
  <c r="Y1371" i="1" s="1"/>
  <c r="G1371" i="1"/>
  <c r="F1371" i="1"/>
  <c r="E1371" i="1"/>
  <c r="D1371" i="1"/>
  <c r="AB1370" i="1"/>
  <c r="AA1370" i="1"/>
  <c r="X1370" i="1"/>
  <c r="W1370" i="1"/>
  <c r="V1370" i="1"/>
  <c r="U1370" i="1"/>
  <c r="T1370" i="1"/>
  <c r="S1370" i="1"/>
  <c r="R1370" i="1"/>
  <c r="Q1370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AB1365" i="1"/>
  <c r="AA1365" i="1"/>
  <c r="Y1365" i="1"/>
  <c r="X1365" i="1"/>
  <c r="W1365" i="1"/>
  <c r="V1365" i="1"/>
  <c r="U1365" i="1"/>
  <c r="T1365" i="1"/>
  <c r="S1365" i="1"/>
  <c r="Q1365" i="1"/>
  <c r="P1365" i="1"/>
  <c r="O1365" i="1"/>
  <c r="N1365" i="1"/>
  <c r="M1365" i="1"/>
  <c r="L1365" i="1"/>
  <c r="K1365" i="1"/>
  <c r="J1365" i="1"/>
  <c r="I1365" i="1"/>
  <c r="G1365" i="1"/>
  <c r="F1365" i="1"/>
  <c r="E1365" i="1"/>
  <c r="D1365" i="1"/>
  <c r="AB1364" i="1"/>
  <c r="AA1364" i="1"/>
  <c r="Y1364" i="1"/>
  <c r="X1364" i="1"/>
  <c r="W1364" i="1"/>
  <c r="V1364" i="1"/>
  <c r="AO1402" i="1" s="1"/>
  <c r="U1364" i="1"/>
  <c r="T1364" i="1"/>
  <c r="S1364" i="1"/>
  <c r="R1364" i="1"/>
  <c r="R1367" i="1" s="1"/>
  <c r="Q1364" i="1"/>
  <c r="P1364" i="1"/>
  <c r="AM1402" i="1" s="1"/>
  <c r="O1364" i="1"/>
  <c r="AL1402" i="1" s="1"/>
  <c r="N1364" i="1"/>
  <c r="M1364" i="1"/>
  <c r="L1364" i="1"/>
  <c r="AJ1402" i="1" s="1"/>
  <c r="K1364" i="1"/>
  <c r="J1364" i="1"/>
  <c r="I1364" i="1"/>
  <c r="G1364" i="1"/>
  <c r="F1364" i="1"/>
  <c r="AH1402" i="1" s="1"/>
  <c r="E1364" i="1"/>
  <c r="AG1402" i="1" s="1"/>
  <c r="D1364" i="1"/>
  <c r="H1363" i="1"/>
  <c r="Y1363" i="1" s="1"/>
  <c r="D1363" i="1"/>
  <c r="H1362" i="1"/>
  <c r="Y1362" i="1" s="1"/>
  <c r="D1362" i="1"/>
  <c r="Z1362" i="1" s="1"/>
  <c r="AB1361" i="1"/>
  <c r="AA1361" i="1"/>
  <c r="X1361" i="1"/>
  <c r="W1361" i="1"/>
  <c r="V1361" i="1"/>
  <c r="U1361" i="1"/>
  <c r="T1361" i="1"/>
  <c r="S1361" i="1"/>
  <c r="Q1361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AB1360" i="1"/>
  <c r="AA1360" i="1"/>
  <c r="Y1360" i="1"/>
  <c r="X1360" i="1"/>
  <c r="W1360" i="1"/>
  <c r="V1360" i="1"/>
  <c r="U1360" i="1"/>
  <c r="T1360" i="1"/>
  <c r="S1360" i="1"/>
  <c r="Q1360" i="1"/>
  <c r="P1360" i="1"/>
  <c r="O1360" i="1"/>
  <c r="O1367" i="1" s="1"/>
  <c r="N1360" i="1"/>
  <c r="M1360" i="1"/>
  <c r="L1360" i="1"/>
  <c r="K1360" i="1"/>
  <c r="K1367" i="1" s="1"/>
  <c r="J1360" i="1"/>
  <c r="I1360" i="1"/>
  <c r="G1360" i="1"/>
  <c r="F1360" i="1"/>
  <c r="E1360" i="1"/>
  <c r="D1360" i="1"/>
  <c r="AF1349" i="1"/>
  <c r="AB1349" i="1"/>
  <c r="AA1349" i="1"/>
  <c r="X1349" i="1"/>
  <c r="W1349" i="1"/>
  <c r="V1349" i="1"/>
  <c r="U1349" i="1"/>
  <c r="T1349" i="1"/>
  <c r="S1349" i="1"/>
  <c r="R1349" i="1"/>
  <c r="Y1349" i="1" s="1"/>
  <c r="Q1349" i="1"/>
  <c r="P1349" i="1"/>
  <c r="O1349" i="1"/>
  <c r="N1349" i="1"/>
  <c r="M1349" i="1"/>
  <c r="L1349" i="1"/>
  <c r="K1349" i="1"/>
  <c r="J1349" i="1"/>
  <c r="I1349" i="1"/>
  <c r="G1349" i="1"/>
  <c r="F1349" i="1"/>
  <c r="E1349" i="1"/>
  <c r="D1349" i="1"/>
  <c r="AB1348" i="1"/>
  <c r="AA1348" i="1"/>
  <c r="X1348" i="1"/>
  <c r="W1348" i="1"/>
  <c r="V1348" i="1"/>
  <c r="U1348" i="1"/>
  <c r="T1348" i="1"/>
  <c r="S1348" i="1"/>
  <c r="R1348" i="1"/>
  <c r="Y1348" i="1" s="1"/>
  <c r="Q1348" i="1"/>
  <c r="P1348" i="1"/>
  <c r="O1348" i="1"/>
  <c r="N1348" i="1"/>
  <c r="M1348" i="1"/>
  <c r="L1348" i="1"/>
  <c r="K1348" i="1"/>
  <c r="J1348" i="1"/>
  <c r="I1348" i="1"/>
  <c r="G1348" i="1"/>
  <c r="F1348" i="1"/>
  <c r="E1348" i="1"/>
  <c r="D1348" i="1"/>
  <c r="H1347" i="1"/>
  <c r="D1347" i="1"/>
  <c r="AB1346" i="1"/>
  <c r="AA1346" i="1"/>
  <c r="X1346" i="1"/>
  <c r="W1346" i="1"/>
  <c r="V1346" i="1"/>
  <c r="U1346" i="1"/>
  <c r="T1346" i="1"/>
  <c r="S1346" i="1"/>
  <c r="Q1346" i="1"/>
  <c r="P1346" i="1"/>
  <c r="O1346" i="1"/>
  <c r="N1346" i="1"/>
  <c r="M1346" i="1"/>
  <c r="L1346" i="1"/>
  <c r="K1346" i="1"/>
  <c r="J1346" i="1"/>
  <c r="I1346" i="1"/>
  <c r="H1346" i="1"/>
  <c r="Y1346" i="1" s="1"/>
  <c r="G1346" i="1"/>
  <c r="F1346" i="1"/>
  <c r="E1346" i="1"/>
  <c r="D1346" i="1"/>
  <c r="AB1345" i="1"/>
  <c r="AA1345" i="1"/>
  <c r="X1345" i="1"/>
  <c r="W1345" i="1"/>
  <c r="V1345" i="1"/>
  <c r="U1345" i="1"/>
  <c r="T1345" i="1"/>
  <c r="S1345" i="1"/>
  <c r="R1345" i="1"/>
  <c r="Q1345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AF1341" i="1"/>
  <c r="AB1340" i="1"/>
  <c r="AA1340" i="1"/>
  <c r="X1340" i="1"/>
  <c r="W1340" i="1"/>
  <c r="V1340" i="1"/>
  <c r="U1340" i="1"/>
  <c r="T1340" i="1"/>
  <c r="S1340" i="1"/>
  <c r="R1340" i="1"/>
  <c r="Y1340" i="1" s="1"/>
  <c r="Q1340" i="1"/>
  <c r="P1340" i="1"/>
  <c r="O1340" i="1"/>
  <c r="N1340" i="1"/>
  <c r="M1340" i="1"/>
  <c r="L1340" i="1"/>
  <c r="K1340" i="1"/>
  <c r="J1340" i="1"/>
  <c r="I1340" i="1"/>
  <c r="G1340" i="1"/>
  <c r="F1340" i="1"/>
  <c r="E1340" i="1"/>
  <c r="D1340" i="1"/>
  <c r="AB1339" i="1"/>
  <c r="AA1339" i="1"/>
  <c r="X1339" i="1"/>
  <c r="W1339" i="1"/>
  <c r="V1339" i="1"/>
  <c r="U1339" i="1"/>
  <c r="T1339" i="1"/>
  <c r="S1339" i="1"/>
  <c r="R1339" i="1"/>
  <c r="Y1339" i="1" s="1"/>
  <c r="Q1339" i="1"/>
  <c r="P1339" i="1"/>
  <c r="O1339" i="1"/>
  <c r="N1339" i="1"/>
  <c r="M1339" i="1"/>
  <c r="L1339" i="1"/>
  <c r="K1339" i="1"/>
  <c r="J1339" i="1"/>
  <c r="I1339" i="1"/>
  <c r="G1339" i="1"/>
  <c r="F1339" i="1"/>
  <c r="E1339" i="1"/>
  <c r="D1339" i="1"/>
  <c r="H1338" i="1"/>
  <c r="Y1338" i="1" s="1"/>
  <c r="D1338" i="1"/>
  <c r="H1337" i="1"/>
  <c r="Y1337" i="1" s="1"/>
  <c r="D1337" i="1"/>
  <c r="H1336" i="1"/>
  <c r="Y1336" i="1" s="1"/>
  <c r="D1336" i="1"/>
  <c r="H1335" i="1"/>
  <c r="Y1335" i="1" s="1"/>
  <c r="D1335" i="1"/>
  <c r="AB1334" i="1"/>
  <c r="AA1334" i="1"/>
  <c r="X1334" i="1"/>
  <c r="W1334" i="1"/>
  <c r="V1334" i="1"/>
  <c r="U1334" i="1"/>
  <c r="T1334" i="1"/>
  <c r="S1334" i="1"/>
  <c r="Q1334" i="1"/>
  <c r="P1334" i="1"/>
  <c r="O1334" i="1"/>
  <c r="N1334" i="1"/>
  <c r="M1334" i="1"/>
  <c r="L1334" i="1"/>
  <c r="K1334" i="1"/>
  <c r="J1334" i="1"/>
  <c r="I1334" i="1"/>
  <c r="H1334" i="1"/>
  <c r="Y1334" i="1" s="1"/>
  <c r="G1334" i="1"/>
  <c r="F1334" i="1"/>
  <c r="E1334" i="1"/>
  <c r="D1334" i="1"/>
  <c r="AB1333" i="1"/>
  <c r="AA1333" i="1"/>
  <c r="X1333" i="1"/>
  <c r="W1333" i="1"/>
  <c r="V1333" i="1"/>
  <c r="U1333" i="1"/>
  <c r="T1333" i="1"/>
  <c r="S1333" i="1"/>
  <c r="Q1333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AB1332" i="1"/>
  <c r="AA1332" i="1"/>
  <c r="X1332" i="1"/>
  <c r="W1332" i="1"/>
  <c r="V1332" i="1"/>
  <c r="U1332" i="1"/>
  <c r="T1332" i="1"/>
  <c r="S1332" i="1"/>
  <c r="R1332" i="1"/>
  <c r="Q1332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AB1331" i="1"/>
  <c r="AA1331" i="1"/>
  <c r="AB1327" i="1"/>
  <c r="AA1327" i="1"/>
  <c r="X1327" i="1"/>
  <c r="W1327" i="1"/>
  <c r="V1327" i="1"/>
  <c r="U1327" i="1"/>
  <c r="T1327" i="1"/>
  <c r="S1327" i="1"/>
  <c r="R1327" i="1"/>
  <c r="Q1327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D1325" i="1"/>
  <c r="R1325" i="1" s="1"/>
  <c r="Y1325" i="1" s="1"/>
  <c r="Z1325" i="1" s="1"/>
  <c r="B1324" i="1"/>
  <c r="R1323" i="1"/>
  <c r="AB1321" i="1"/>
  <c r="AA1321" i="1"/>
  <c r="X1321" i="1"/>
  <c r="W1321" i="1"/>
  <c r="V1321" i="1"/>
  <c r="U1321" i="1"/>
  <c r="T1321" i="1"/>
  <c r="S1321" i="1"/>
  <c r="Q1321" i="1"/>
  <c r="P1321" i="1"/>
  <c r="O1321" i="1"/>
  <c r="N1321" i="1"/>
  <c r="M1321" i="1"/>
  <c r="L1321" i="1"/>
  <c r="K1321" i="1"/>
  <c r="J1321" i="1"/>
  <c r="I1321" i="1"/>
  <c r="H1321" i="1"/>
  <c r="Y1321" i="1" s="1"/>
  <c r="G1321" i="1"/>
  <c r="F1321" i="1"/>
  <c r="E1321" i="1"/>
  <c r="D1321" i="1"/>
  <c r="AB1320" i="1"/>
  <c r="AA1320" i="1"/>
  <c r="X1320" i="1"/>
  <c r="W1320" i="1"/>
  <c r="V1320" i="1"/>
  <c r="U1320" i="1"/>
  <c r="T1320" i="1"/>
  <c r="S1320" i="1"/>
  <c r="Q1320" i="1"/>
  <c r="P1320" i="1"/>
  <c r="O1320" i="1"/>
  <c r="N1320" i="1"/>
  <c r="M1320" i="1"/>
  <c r="L1320" i="1"/>
  <c r="K1320" i="1"/>
  <c r="J1320" i="1"/>
  <c r="I1320" i="1"/>
  <c r="H1320" i="1"/>
  <c r="Y1320" i="1" s="1"/>
  <c r="G1320" i="1"/>
  <c r="F1320" i="1"/>
  <c r="E1320" i="1"/>
  <c r="D1320" i="1"/>
  <c r="H1319" i="1"/>
  <c r="Y1319" i="1" s="1"/>
  <c r="D1319" i="1"/>
  <c r="H1318" i="1"/>
  <c r="Y1318" i="1" s="1"/>
  <c r="D1318" i="1"/>
  <c r="AB1317" i="1"/>
  <c r="AA1317" i="1"/>
  <c r="X1317" i="1"/>
  <c r="W1317" i="1"/>
  <c r="V1317" i="1"/>
  <c r="U1317" i="1"/>
  <c r="T1317" i="1"/>
  <c r="S1317" i="1"/>
  <c r="Q1317" i="1"/>
  <c r="P1317" i="1"/>
  <c r="O1317" i="1"/>
  <c r="N1317" i="1"/>
  <c r="M1317" i="1"/>
  <c r="L1317" i="1"/>
  <c r="K1317" i="1"/>
  <c r="J1317" i="1"/>
  <c r="I1317" i="1"/>
  <c r="H1317" i="1"/>
  <c r="Y1317" i="1" s="1"/>
  <c r="G1317" i="1"/>
  <c r="F1317" i="1"/>
  <c r="E1317" i="1"/>
  <c r="D1317" i="1"/>
  <c r="AB1313" i="1"/>
  <c r="AA1313" i="1"/>
  <c r="X1313" i="1"/>
  <c r="W1313" i="1"/>
  <c r="V1313" i="1"/>
  <c r="U1313" i="1"/>
  <c r="T1313" i="1"/>
  <c r="S1313" i="1"/>
  <c r="R1313" i="1"/>
  <c r="Y1313" i="1" s="1"/>
  <c r="Z1313" i="1" s="1"/>
  <c r="Q1313" i="1"/>
  <c r="P1313" i="1"/>
  <c r="O1313" i="1"/>
  <c r="N1313" i="1"/>
  <c r="M1313" i="1"/>
  <c r="L1313" i="1"/>
  <c r="K1313" i="1"/>
  <c r="J1313" i="1"/>
  <c r="I1313" i="1"/>
  <c r="G1313" i="1"/>
  <c r="F1313" i="1"/>
  <c r="E1313" i="1"/>
  <c r="D1313" i="1"/>
  <c r="AF1348" i="1" s="1"/>
  <c r="AB1312" i="1"/>
  <c r="AA1312" i="1"/>
  <c r="X1312" i="1"/>
  <c r="W1312" i="1"/>
  <c r="V1312" i="1"/>
  <c r="U1312" i="1"/>
  <c r="T1312" i="1"/>
  <c r="S1312" i="1"/>
  <c r="R1312" i="1"/>
  <c r="Y1312" i="1" s="1"/>
  <c r="Q1312" i="1"/>
  <c r="P1312" i="1"/>
  <c r="O1312" i="1"/>
  <c r="N1312" i="1"/>
  <c r="M1312" i="1"/>
  <c r="L1312" i="1"/>
  <c r="K1312" i="1"/>
  <c r="J1312" i="1"/>
  <c r="I1312" i="1"/>
  <c r="G1312" i="1"/>
  <c r="F1312" i="1"/>
  <c r="E1312" i="1"/>
  <c r="D1312" i="1"/>
  <c r="AF1347" i="1" s="1"/>
  <c r="Y1311" i="1"/>
  <c r="H1311" i="1"/>
  <c r="D1311" i="1"/>
  <c r="AB1310" i="1"/>
  <c r="AA1310" i="1"/>
  <c r="X1310" i="1"/>
  <c r="W1310" i="1"/>
  <c r="V1310" i="1"/>
  <c r="U1310" i="1"/>
  <c r="T1310" i="1"/>
  <c r="S1310" i="1"/>
  <c r="Q1310" i="1"/>
  <c r="P1310" i="1"/>
  <c r="O1310" i="1"/>
  <c r="N1310" i="1"/>
  <c r="M1310" i="1"/>
  <c r="L1310" i="1"/>
  <c r="K1310" i="1"/>
  <c r="J1310" i="1"/>
  <c r="I1310" i="1"/>
  <c r="H1310" i="1"/>
  <c r="Y1310" i="1" s="1"/>
  <c r="G1310" i="1"/>
  <c r="F1310" i="1"/>
  <c r="E1310" i="1"/>
  <c r="AG1340" i="1" s="1"/>
  <c r="D1310" i="1"/>
  <c r="AB1309" i="1"/>
  <c r="AA1309" i="1"/>
  <c r="Y1309" i="1"/>
  <c r="Z1309" i="1" s="1"/>
  <c r="X1309" i="1"/>
  <c r="W1309" i="1"/>
  <c r="V1309" i="1"/>
  <c r="AO1341" i="1" s="1"/>
  <c r="U1309" i="1"/>
  <c r="T1309" i="1"/>
  <c r="S1309" i="1"/>
  <c r="Q1309" i="1"/>
  <c r="P1309" i="1"/>
  <c r="AM1341" i="1" s="1"/>
  <c r="O1309" i="1"/>
  <c r="AL1341" i="1" s="1"/>
  <c r="N1309" i="1"/>
  <c r="M1309" i="1"/>
  <c r="L1309" i="1"/>
  <c r="AJ1341" i="1" s="1"/>
  <c r="K1309" i="1"/>
  <c r="J1309" i="1"/>
  <c r="I1309" i="1"/>
  <c r="G1309" i="1"/>
  <c r="F1309" i="1"/>
  <c r="E1309" i="1"/>
  <c r="AG1341" i="1" s="1"/>
  <c r="H1308" i="1"/>
  <c r="Y1308" i="1" s="1"/>
  <c r="D1308" i="1"/>
  <c r="Z1308" i="1" s="1"/>
  <c r="H1307" i="1"/>
  <c r="Y1307" i="1" s="1"/>
  <c r="D1307" i="1"/>
  <c r="AB1306" i="1"/>
  <c r="AA1306" i="1"/>
  <c r="X1306" i="1"/>
  <c r="W1306" i="1"/>
  <c r="V1306" i="1"/>
  <c r="U1306" i="1"/>
  <c r="T1306" i="1"/>
  <c r="S1306" i="1"/>
  <c r="Q1306" i="1"/>
  <c r="P1306" i="1"/>
  <c r="O1306" i="1"/>
  <c r="N1306" i="1"/>
  <c r="M1306" i="1"/>
  <c r="L1306" i="1"/>
  <c r="K1306" i="1"/>
  <c r="J1306" i="1"/>
  <c r="I1306" i="1"/>
  <c r="H1306" i="1"/>
  <c r="Y1306" i="1" s="1"/>
  <c r="G1306" i="1"/>
  <c r="F1306" i="1"/>
  <c r="E1306" i="1"/>
  <c r="D1306" i="1"/>
  <c r="AB1305" i="1"/>
  <c r="AA1305" i="1"/>
  <c r="X1305" i="1"/>
  <c r="W1305" i="1"/>
  <c r="V1305" i="1"/>
  <c r="U1305" i="1"/>
  <c r="T1305" i="1"/>
  <c r="S1305" i="1"/>
  <c r="Q1305" i="1"/>
  <c r="P1305" i="1"/>
  <c r="O1305" i="1"/>
  <c r="N1305" i="1"/>
  <c r="M1305" i="1"/>
  <c r="L1305" i="1"/>
  <c r="K1305" i="1"/>
  <c r="J1305" i="1"/>
  <c r="I1305" i="1"/>
  <c r="H1305" i="1"/>
  <c r="Y1305" i="1" s="1"/>
  <c r="G1305" i="1"/>
  <c r="F1305" i="1"/>
  <c r="E1305" i="1"/>
  <c r="D1305" i="1"/>
  <c r="R1303" i="1"/>
  <c r="AB1301" i="1"/>
  <c r="AA1301" i="1"/>
  <c r="Y1301" i="1"/>
  <c r="Z1301" i="1" s="1"/>
  <c r="X1301" i="1"/>
  <c r="W1301" i="1"/>
  <c r="V1301" i="1"/>
  <c r="U1301" i="1"/>
  <c r="T1301" i="1"/>
  <c r="S1301" i="1"/>
  <c r="Q1301" i="1"/>
  <c r="P1301" i="1"/>
  <c r="O1301" i="1"/>
  <c r="N1301" i="1"/>
  <c r="M1301" i="1"/>
  <c r="L1301" i="1"/>
  <c r="K1301" i="1"/>
  <c r="J1301" i="1"/>
  <c r="I1301" i="1"/>
  <c r="G1301" i="1"/>
  <c r="F1301" i="1"/>
  <c r="E1301" i="1"/>
  <c r="AB1300" i="1"/>
  <c r="AA1300" i="1"/>
  <c r="Y1300" i="1"/>
  <c r="Z1300" i="1" s="1"/>
  <c r="X1300" i="1"/>
  <c r="W1300" i="1"/>
  <c r="V1300" i="1"/>
  <c r="AO1349" i="1" s="1"/>
  <c r="U1300" i="1"/>
  <c r="T1300" i="1"/>
  <c r="S1300" i="1"/>
  <c r="Q1300" i="1"/>
  <c r="P1300" i="1"/>
  <c r="AM1349" i="1" s="1"/>
  <c r="O1300" i="1"/>
  <c r="AL1349" i="1" s="1"/>
  <c r="AN1349" i="1" s="1"/>
  <c r="N1300" i="1"/>
  <c r="M1300" i="1"/>
  <c r="L1300" i="1"/>
  <c r="AJ1349" i="1" s="1"/>
  <c r="K1300" i="1"/>
  <c r="J1300" i="1"/>
  <c r="I1300" i="1"/>
  <c r="G1300" i="1"/>
  <c r="F1300" i="1"/>
  <c r="AH1349" i="1" s="1"/>
  <c r="E1300" i="1"/>
  <c r="AG1349" i="1" s="1"/>
  <c r="AB1299" i="1"/>
  <c r="AA1299" i="1"/>
  <c r="Y1299" i="1"/>
  <c r="Z1299" i="1" s="1"/>
  <c r="X1299" i="1"/>
  <c r="W1299" i="1"/>
  <c r="V1299" i="1"/>
  <c r="U1299" i="1"/>
  <c r="T1299" i="1"/>
  <c r="S1299" i="1"/>
  <c r="Q1299" i="1"/>
  <c r="P1299" i="1"/>
  <c r="O1299" i="1"/>
  <c r="N1299" i="1"/>
  <c r="M1299" i="1"/>
  <c r="L1299" i="1"/>
  <c r="K1299" i="1"/>
  <c r="J1299" i="1"/>
  <c r="I1299" i="1"/>
  <c r="G1299" i="1"/>
  <c r="F1299" i="1"/>
  <c r="E1299" i="1"/>
  <c r="H1298" i="1"/>
  <c r="Y1298" i="1" s="1"/>
  <c r="D1298" i="1"/>
  <c r="Z1298" i="1" s="1"/>
  <c r="H1297" i="1"/>
  <c r="Y1297" i="1" s="1"/>
  <c r="D1297" i="1"/>
  <c r="H1296" i="1"/>
  <c r="Y1296" i="1" s="1"/>
  <c r="D1296" i="1"/>
  <c r="AB1295" i="1"/>
  <c r="AA1295" i="1"/>
  <c r="X1295" i="1"/>
  <c r="W1295" i="1"/>
  <c r="V1295" i="1"/>
  <c r="U1295" i="1"/>
  <c r="T1295" i="1"/>
  <c r="S1295" i="1"/>
  <c r="Q1295" i="1"/>
  <c r="P1295" i="1"/>
  <c r="O1295" i="1"/>
  <c r="N1295" i="1"/>
  <c r="M1295" i="1"/>
  <c r="L1295" i="1"/>
  <c r="K1295" i="1"/>
  <c r="J1295" i="1"/>
  <c r="I1295" i="1"/>
  <c r="H1295" i="1"/>
  <c r="Y1295" i="1" s="1"/>
  <c r="G1295" i="1"/>
  <c r="F1295" i="1"/>
  <c r="E1295" i="1"/>
  <c r="D1295" i="1"/>
  <c r="AB1294" i="1"/>
  <c r="AA1294" i="1"/>
  <c r="X1294" i="1"/>
  <c r="W1294" i="1"/>
  <c r="V1294" i="1"/>
  <c r="U1294" i="1"/>
  <c r="T1294" i="1"/>
  <c r="S1294" i="1"/>
  <c r="Q1294" i="1"/>
  <c r="P1294" i="1"/>
  <c r="O1294" i="1"/>
  <c r="N1294" i="1"/>
  <c r="M1294" i="1"/>
  <c r="L1294" i="1"/>
  <c r="K1294" i="1"/>
  <c r="J1294" i="1"/>
  <c r="I1294" i="1"/>
  <c r="H1294" i="1"/>
  <c r="Y1294" i="1" s="1"/>
  <c r="G1294" i="1"/>
  <c r="F1294" i="1"/>
  <c r="E1294" i="1"/>
  <c r="D1294" i="1"/>
  <c r="Y1293" i="1"/>
  <c r="H1293" i="1"/>
  <c r="D1293" i="1"/>
  <c r="H1292" i="1"/>
  <c r="Y1292" i="1" s="1"/>
  <c r="D1292" i="1"/>
  <c r="AB1291" i="1"/>
  <c r="AA1291" i="1"/>
  <c r="X1291" i="1"/>
  <c r="W1291" i="1"/>
  <c r="V1291" i="1"/>
  <c r="U1291" i="1"/>
  <c r="T1291" i="1"/>
  <c r="S1291" i="1"/>
  <c r="Q1291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R1286" i="1"/>
  <c r="AB1284" i="1"/>
  <c r="AA1284" i="1"/>
  <c r="Y1284" i="1"/>
  <c r="Z1284" i="1" s="1"/>
  <c r="X1284" i="1"/>
  <c r="W1284" i="1"/>
  <c r="V1284" i="1"/>
  <c r="U1284" i="1"/>
  <c r="T1284" i="1"/>
  <c r="S1284" i="1"/>
  <c r="Q1284" i="1"/>
  <c r="P1284" i="1"/>
  <c r="O1284" i="1"/>
  <c r="N1284" i="1"/>
  <c r="M1284" i="1"/>
  <c r="L1284" i="1"/>
  <c r="K1284" i="1"/>
  <c r="J1284" i="1"/>
  <c r="I1284" i="1"/>
  <c r="G1284" i="1"/>
  <c r="F1284" i="1"/>
  <c r="AH1348" i="1" s="1"/>
  <c r="E1284" i="1"/>
  <c r="AB1283" i="1"/>
  <c r="AA1283" i="1"/>
  <c r="Y1283" i="1"/>
  <c r="Z1283" i="1" s="1"/>
  <c r="X1283" i="1"/>
  <c r="W1283" i="1"/>
  <c r="V1283" i="1"/>
  <c r="U1283" i="1"/>
  <c r="T1283" i="1"/>
  <c r="S1283" i="1"/>
  <c r="Q1283" i="1"/>
  <c r="P1283" i="1"/>
  <c r="O1283" i="1"/>
  <c r="N1283" i="1"/>
  <c r="M1283" i="1"/>
  <c r="L1283" i="1"/>
  <c r="K1283" i="1"/>
  <c r="J1283" i="1"/>
  <c r="I1283" i="1"/>
  <c r="G1283" i="1"/>
  <c r="F1283" i="1"/>
  <c r="E1283" i="1"/>
  <c r="H1282" i="1"/>
  <c r="Y1282" i="1" s="1"/>
  <c r="D1282" i="1"/>
  <c r="D1281" i="1"/>
  <c r="H1281" i="1" s="1"/>
  <c r="Y1281" i="1" s="1"/>
  <c r="D1280" i="1"/>
  <c r="H1280" i="1" s="1"/>
  <c r="Y1280" i="1" s="1"/>
  <c r="H1279" i="1"/>
  <c r="Y1279" i="1" s="1"/>
  <c r="D1279" i="1"/>
  <c r="H1278" i="1"/>
  <c r="Y1278" i="1" s="1"/>
  <c r="D1278" i="1"/>
  <c r="H1277" i="1"/>
  <c r="Y1277" i="1" s="1"/>
  <c r="D1277" i="1"/>
  <c r="H1276" i="1"/>
  <c r="Y1276" i="1" s="1"/>
  <c r="D1276" i="1"/>
  <c r="AB1275" i="1"/>
  <c r="AA1275" i="1"/>
  <c r="X1275" i="1"/>
  <c r="W1275" i="1"/>
  <c r="V1275" i="1"/>
  <c r="U1275" i="1"/>
  <c r="T1275" i="1"/>
  <c r="S1275" i="1"/>
  <c r="Q1275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AB1266" i="1"/>
  <c r="AA1266" i="1"/>
  <c r="X1266" i="1"/>
  <c r="W1266" i="1"/>
  <c r="V1266" i="1"/>
  <c r="U1266" i="1"/>
  <c r="T1266" i="1"/>
  <c r="S1266" i="1"/>
  <c r="Q1266" i="1"/>
  <c r="P1266" i="1"/>
  <c r="O1266" i="1"/>
  <c r="N1266" i="1"/>
  <c r="M1266" i="1"/>
  <c r="L1266" i="1"/>
  <c r="K1266" i="1"/>
  <c r="J1266" i="1"/>
  <c r="I1266" i="1"/>
  <c r="H1266" i="1"/>
  <c r="Y1266" i="1" s="1"/>
  <c r="G1266" i="1"/>
  <c r="F1266" i="1"/>
  <c r="E1266" i="1"/>
  <c r="D1266" i="1"/>
  <c r="H1265" i="1"/>
  <c r="Y1265" i="1" s="1"/>
  <c r="D1265" i="1"/>
  <c r="H1264" i="1"/>
  <c r="Y1264" i="1" s="1"/>
  <c r="D1264" i="1"/>
  <c r="AB1263" i="1"/>
  <c r="AA1263" i="1"/>
  <c r="X1263" i="1"/>
  <c r="W1263" i="1"/>
  <c r="V1263" i="1"/>
  <c r="U1263" i="1"/>
  <c r="T1263" i="1"/>
  <c r="S1263" i="1"/>
  <c r="Q1263" i="1"/>
  <c r="P1263" i="1"/>
  <c r="O1263" i="1"/>
  <c r="N1263" i="1"/>
  <c r="M1263" i="1"/>
  <c r="L1263" i="1"/>
  <c r="K1263" i="1"/>
  <c r="J1263" i="1"/>
  <c r="I1263" i="1"/>
  <c r="H1263" i="1"/>
  <c r="Y1263" i="1" s="1"/>
  <c r="G1263" i="1"/>
  <c r="F1263" i="1"/>
  <c r="E1263" i="1"/>
  <c r="D1263" i="1"/>
  <c r="H1262" i="1"/>
  <c r="Y1262" i="1" s="1"/>
  <c r="D1262" i="1"/>
  <c r="H1261" i="1"/>
  <c r="Y1261" i="1" s="1"/>
  <c r="D1261" i="1"/>
  <c r="AB1260" i="1"/>
  <c r="AA1260" i="1"/>
  <c r="X1260" i="1"/>
  <c r="W1260" i="1"/>
  <c r="V1260" i="1"/>
  <c r="U1260" i="1"/>
  <c r="T1260" i="1"/>
  <c r="S1260" i="1"/>
  <c r="R1260" i="1"/>
  <c r="Q1260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AF1249" i="1"/>
  <c r="AB1246" i="1"/>
  <c r="AA1246" i="1"/>
  <c r="X1246" i="1"/>
  <c r="W1246" i="1"/>
  <c r="V1246" i="1"/>
  <c r="AO1268" i="1" s="1"/>
  <c r="U1246" i="1"/>
  <c r="T1246" i="1"/>
  <c r="S1246" i="1"/>
  <c r="Q1246" i="1"/>
  <c r="P1246" i="1"/>
  <c r="AM1268" i="1" s="1"/>
  <c r="O1246" i="1"/>
  <c r="AL1268" i="1" s="1"/>
  <c r="N1246" i="1"/>
  <c r="M1246" i="1"/>
  <c r="L1246" i="1"/>
  <c r="AJ1268" i="1" s="1"/>
  <c r="K1246" i="1"/>
  <c r="J1246" i="1"/>
  <c r="I1246" i="1"/>
  <c r="H1246" i="1"/>
  <c r="Y1246" i="1" s="1"/>
  <c r="G1246" i="1"/>
  <c r="F1246" i="1"/>
  <c r="E1246" i="1"/>
  <c r="AG1268" i="1" s="1"/>
  <c r="D1246" i="1"/>
  <c r="AF1268" i="1" s="1"/>
  <c r="AB1245" i="1"/>
  <c r="AA1245" i="1"/>
  <c r="X1245" i="1"/>
  <c r="W1245" i="1"/>
  <c r="V1245" i="1"/>
  <c r="U1245" i="1"/>
  <c r="T1245" i="1"/>
  <c r="S1245" i="1"/>
  <c r="Q1245" i="1"/>
  <c r="P1245" i="1"/>
  <c r="O1245" i="1"/>
  <c r="N1245" i="1"/>
  <c r="M1245" i="1"/>
  <c r="L1245" i="1"/>
  <c r="K1245" i="1"/>
  <c r="J1245" i="1"/>
  <c r="I1245" i="1"/>
  <c r="H1245" i="1"/>
  <c r="Y1245" i="1" s="1"/>
  <c r="G1245" i="1"/>
  <c r="F1245" i="1"/>
  <c r="E1245" i="1"/>
  <c r="D1245" i="1"/>
  <c r="H1244" i="1"/>
  <c r="Y1244" i="1" s="1"/>
  <c r="D1244" i="1"/>
  <c r="H1243" i="1"/>
  <c r="Y1243" i="1" s="1"/>
  <c r="D1243" i="1"/>
  <c r="H1242" i="1"/>
  <c r="Y1242" i="1" s="1"/>
  <c r="D1242" i="1"/>
  <c r="AB1241" i="1"/>
  <c r="AA1241" i="1"/>
  <c r="X1241" i="1"/>
  <c r="W1241" i="1"/>
  <c r="V1241" i="1"/>
  <c r="U1241" i="1"/>
  <c r="T1241" i="1"/>
  <c r="S1241" i="1"/>
  <c r="R1241" i="1"/>
  <c r="R1248" i="1" s="1"/>
  <c r="Q1241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AB1240" i="1"/>
  <c r="AA1240" i="1"/>
  <c r="AB1239" i="1"/>
  <c r="AA1239" i="1"/>
  <c r="Z1239" i="1"/>
  <c r="Y1239" i="1"/>
  <c r="X1239" i="1"/>
  <c r="W1239" i="1"/>
  <c r="V1239" i="1"/>
  <c r="U1239" i="1"/>
  <c r="T1239" i="1"/>
  <c r="S1239" i="1"/>
  <c r="R1239" i="1"/>
  <c r="Q1239" i="1"/>
  <c r="P1239" i="1"/>
  <c r="O1239" i="1"/>
  <c r="N1239" i="1"/>
  <c r="M1239" i="1"/>
  <c r="L1239" i="1"/>
  <c r="K1239" i="1"/>
  <c r="J1239" i="1"/>
  <c r="I1239" i="1"/>
  <c r="G1239" i="1"/>
  <c r="F1239" i="1"/>
  <c r="E1239" i="1"/>
  <c r="D1239" i="1"/>
  <c r="R1237" i="1"/>
  <c r="AB1235" i="1"/>
  <c r="AA1235" i="1"/>
  <c r="Y1235" i="1"/>
  <c r="Z1235" i="1" s="1"/>
  <c r="X1235" i="1"/>
  <c r="W1235" i="1"/>
  <c r="V1235" i="1"/>
  <c r="U1235" i="1"/>
  <c r="T1235" i="1"/>
  <c r="S1235" i="1"/>
  <c r="Q1235" i="1"/>
  <c r="P1235" i="1"/>
  <c r="O1235" i="1"/>
  <c r="N1235" i="1"/>
  <c r="M1235" i="1"/>
  <c r="L1235" i="1"/>
  <c r="K1235" i="1"/>
  <c r="J1235" i="1"/>
  <c r="I1235" i="1"/>
  <c r="G1235" i="1"/>
  <c r="F1235" i="1"/>
  <c r="E1235" i="1"/>
  <c r="AB1234" i="1"/>
  <c r="AA1234" i="1"/>
  <c r="Y1234" i="1"/>
  <c r="Z1234" i="1" s="1"/>
  <c r="X1234" i="1"/>
  <c r="W1234" i="1"/>
  <c r="V1234" i="1"/>
  <c r="U1234" i="1"/>
  <c r="T1234" i="1"/>
  <c r="S1234" i="1"/>
  <c r="Q1234" i="1"/>
  <c r="P1234" i="1"/>
  <c r="O1234" i="1"/>
  <c r="N1234" i="1"/>
  <c r="M1234" i="1"/>
  <c r="L1234" i="1"/>
  <c r="K1234" i="1"/>
  <c r="J1234" i="1"/>
  <c r="I1234" i="1"/>
  <c r="G1234" i="1"/>
  <c r="F1234" i="1"/>
  <c r="E1234" i="1"/>
  <c r="AB1233" i="1"/>
  <c r="AA1233" i="1"/>
  <c r="Y1233" i="1"/>
  <c r="Z1233" i="1" s="1"/>
  <c r="X1233" i="1"/>
  <c r="W1233" i="1"/>
  <c r="V1233" i="1"/>
  <c r="U1233" i="1"/>
  <c r="T1233" i="1"/>
  <c r="S1233" i="1"/>
  <c r="Q1233" i="1"/>
  <c r="P1233" i="1"/>
  <c r="O1233" i="1"/>
  <c r="N1233" i="1"/>
  <c r="M1233" i="1"/>
  <c r="L1233" i="1"/>
  <c r="K1233" i="1"/>
  <c r="J1233" i="1"/>
  <c r="I1233" i="1"/>
  <c r="G1233" i="1"/>
  <c r="F1233" i="1"/>
  <c r="E1233" i="1"/>
  <c r="H1232" i="1"/>
  <c r="Y1232" i="1" s="1"/>
  <c r="D1232" i="1"/>
  <c r="H1231" i="1"/>
  <c r="Y1231" i="1" s="1"/>
  <c r="D1231" i="1"/>
  <c r="H1230" i="1"/>
  <c r="D1230" i="1"/>
  <c r="AB1229" i="1"/>
  <c r="AA1229" i="1"/>
  <c r="X1229" i="1"/>
  <c r="W1229" i="1"/>
  <c r="V1229" i="1"/>
  <c r="U1229" i="1"/>
  <c r="T1229" i="1"/>
  <c r="S1229" i="1"/>
  <c r="Q1229" i="1"/>
  <c r="P1229" i="1"/>
  <c r="O1229" i="1"/>
  <c r="N1229" i="1"/>
  <c r="M1229" i="1"/>
  <c r="L1229" i="1"/>
  <c r="K1229" i="1"/>
  <c r="J1229" i="1"/>
  <c r="I1229" i="1"/>
  <c r="H1229" i="1"/>
  <c r="Y1229" i="1" s="1"/>
  <c r="G1229" i="1"/>
  <c r="F1229" i="1"/>
  <c r="E1229" i="1"/>
  <c r="D1229" i="1"/>
  <c r="AB1228" i="1"/>
  <c r="AA1228" i="1"/>
  <c r="X1228" i="1"/>
  <c r="W1228" i="1"/>
  <c r="V1228" i="1"/>
  <c r="U1228" i="1"/>
  <c r="T1228" i="1"/>
  <c r="S1228" i="1"/>
  <c r="Q1228" i="1"/>
  <c r="P1228" i="1"/>
  <c r="O1228" i="1"/>
  <c r="N1228" i="1"/>
  <c r="M1228" i="1"/>
  <c r="L1228" i="1"/>
  <c r="K1228" i="1"/>
  <c r="J1228" i="1"/>
  <c r="I1228" i="1"/>
  <c r="H1228" i="1"/>
  <c r="Y1228" i="1" s="1"/>
  <c r="G1228" i="1"/>
  <c r="F1228" i="1"/>
  <c r="E1228" i="1"/>
  <c r="D1228" i="1"/>
  <c r="D1237" i="1" s="1"/>
  <c r="AB1222" i="1"/>
  <c r="AA1222" i="1"/>
  <c r="X1222" i="1"/>
  <c r="W1222" i="1"/>
  <c r="V1222" i="1"/>
  <c r="AO1267" i="1" s="1"/>
  <c r="U1222" i="1"/>
  <c r="T1222" i="1"/>
  <c r="S1222" i="1"/>
  <c r="R1222" i="1"/>
  <c r="Y1222" i="1" s="1"/>
  <c r="Q1222" i="1"/>
  <c r="P1222" i="1"/>
  <c r="AM1267" i="1" s="1"/>
  <c r="O1222" i="1"/>
  <c r="AL1267" i="1" s="1"/>
  <c r="N1222" i="1"/>
  <c r="M1222" i="1"/>
  <c r="L1222" i="1"/>
  <c r="AJ1267" i="1" s="1"/>
  <c r="K1222" i="1"/>
  <c r="J1222" i="1"/>
  <c r="I1222" i="1"/>
  <c r="G1222" i="1"/>
  <c r="F1222" i="1"/>
  <c r="AH1267" i="1" s="1"/>
  <c r="E1222" i="1"/>
  <c r="AG1267" i="1" s="1"/>
  <c r="D1222" i="1"/>
  <c r="AF1267" i="1" s="1"/>
  <c r="AB1221" i="1"/>
  <c r="AA1221" i="1"/>
  <c r="X1221" i="1"/>
  <c r="W1221" i="1"/>
  <c r="V1221" i="1"/>
  <c r="AO1266" i="1" s="1"/>
  <c r="U1221" i="1"/>
  <c r="T1221" i="1"/>
  <c r="S1221" i="1"/>
  <c r="R1221" i="1"/>
  <c r="Q1221" i="1"/>
  <c r="P1221" i="1"/>
  <c r="AM1266" i="1" s="1"/>
  <c r="O1221" i="1"/>
  <c r="AL1266" i="1" s="1"/>
  <c r="N1221" i="1"/>
  <c r="M1221" i="1"/>
  <c r="L1221" i="1"/>
  <c r="AJ1266" i="1" s="1"/>
  <c r="K1221" i="1"/>
  <c r="J1221" i="1"/>
  <c r="I1221" i="1"/>
  <c r="H1221" i="1"/>
  <c r="G1221" i="1"/>
  <c r="F1221" i="1"/>
  <c r="AH1266" i="1" s="1"/>
  <c r="E1221" i="1"/>
  <c r="AG1266" i="1" s="1"/>
  <c r="D1221" i="1"/>
  <c r="AB1220" i="1"/>
  <c r="AA1220" i="1"/>
  <c r="X1220" i="1"/>
  <c r="W1220" i="1"/>
  <c r="V1220" i="1"/>
  <c r="U1220" i="1"/>
  <c r="T1220" i="1"/>
  <c r="S1220" i="1"/>
  <c r="R1220" i="1"/>
  <c r="Y1220" i="1" s="1"/>
  <c r="Q1220" i="1"/>
  <c r="P1220" i="1"/>
  <c r="O1220" i="1"/>
  <c r="N1220" i="1"/>
  <c r="M1220" i="1"/>
  <c r="L1220" i="1"/>
  <c r="K1220" i="1"/>
  <c r="J1220" i="1"/>
  <c r="I1220" i="1"/>
  <c r="G1220" i="1"/>
  <c r="F1220" i="1"/>
  <c r="E1220" i="1"/>
  <c r="D1220" i="1"/>
  <c r="Y1219" i="1"/>
  <c r="H1219" i="1"/>
  <c r="D1219" i="1"/>
  <c r="H1218" i="1"/>
  <c r="Y1218" i="1" s="1"/>
  <c r="D1218" i="1"/>
  <c r="H1217" i="1"/>
  <c r="Y1217" i="1" s="1"/>
  <c r="D1217" i="1"/>
  <c r="H1216" i="1"/>
  <c r="Y1216" i="1" s="1"/>
  <c r="D1216" i="1"/>
  <c r="H1215" i="1"/>
  <c r="Y1215" i="1" s="1"/>
  <c r="D1215" i="1"/>
  <c r="Z1215" i="1" s="1"/>
  <c r="H1214" i="1"/>
  <c r="Y1214" i="1" s="1"/>
  <c r="D1214" i="1"/>
  <c r="AB1213" i="1"/>
  <c r="AA1213" i="1"/>
  <c r="X1213" i="1"/>
  <c r="W1213" i="1"/>
  <c r="V1213" i="1"/>
  <c r="U1213" i="1"/>
  <c r="T1213" i="1"/>
  <c r="S1213" i="1"/>
  <c r="R1213" i="1"/>
  <c r="Q1213" i="1"/>
  <c r="P1213" i="1"/>
  <c r="O1213" i="1"/>
  <c r="N1213" i="1"/>
  <c r="M1213" i="1"/>
  <c r="L1213" i="1"/>
  <c r="K1213" i="1"/>
  <c r="J1213" i="1"/>
  <c r="I1213" i="1"/>
  <c r="H1213" i="1"/>
  <c r="G1213" i="1"/>
  <c r="F1213" i="1"/>
  <c r="AH1239" i="1" s="1"/>
  <c r="E1213" i="1"/>
  <c r="D1213" i="1"/>
  <c r="R1212" i="1"/>
  <c r="H1212" i="1"/>
  <c r="D1212" i="1"/>
  <c r="AB1211" i="1"/>
  <c r="AA1211" i="1"/>
  <c r="X1211" i="1"/>
  <c r="W1211" i="1"/>
  <c r="V1211" i="1"/>
  <c r="U1211" i="1"/>
  <c r="T1211" i="1"/>
  <c r="S1211" i="1"/>
  <c r="R1211" i="1"/>
  <c r="Y1211" i="1" s="1"/>
  <c r="Q1211" i="1"/>
  <c r="P1211" i="1"/>
  <c r="O1211" i="1"/>
  <c r="N1211" i="1"/>
  <c r="M1211" i="1"/>
  <c r="L1211" i="1"/>
  <c r="K1211" i="1"/>
  <c r="J1211" i="1"/>
  <c r="I1211" i="1"/>
  <c r="G1211" i="1"/>
  <c r="F1211" i="1"/>
  <c r="E1211" i="1"/>
  <c r="D1211" i="1"/>
  <c r="AB1210" i="1"/>
  <c r="AA1210" i="1"/>
  <c r="X1210" i="1"/>
  <c r="W1210" i="1"/>
  <c r="V1210" i="1"/>
  <c r="U1210" i="1"/>
  <c r="T1210" i="1"/>
  <c r="S1210" i="1"/>
  <c r="R1210" i="1"/>
  <c r="Q1210" i="1"/>
  <c r="P1210" i="1"/>
  <c r="O1210" i="1"/>
  <c r="N1210" i="1"/>
  <c r="M1210" i="1"/>
  <c r="L1210" i="1"/>
  <c r="K1210" i="1"/>
  <c r="J1210" i="1"/>
  <c r="I1210" i="1"/>
  <c r="G1210" i="1"/>
  <c r="F1210" i="1"/>
  <c r="E1210" i="1"/>
  <c r="D1210" i="1"/>
  <c r="AB1206" i="1"/>
  <c r="AA1206" i="1"/>
  <c r="X1206" i="1"/>
  <c r="W1206" i="1"/>
  <c r="V1206" i="1"/>
  <c r="U1206" i="1"/>
  <c r="T1206" i="1"/>
  <c r="S1206" i="1"/>
  <c r="R1206" i="1"/>
  <c r="Q1206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AB1205" i="1"/>
  <c r="AA1205" i="1"/>
  <c r="X1205" i="1"/>
  <c r="W1205" i="1"/>
  <c r="V1205" i="1"/>
  <c r="U1205" i="1"/>
  <c r="T1205" i="1"/>
  <c r="S1205" i="1"/>
  <c r="R1205" i="1"/>
  <c r="Q1205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AB1204" i="1"/>
  <c r="AA1204" i="1"/>
  <c r="X1204" i="1"/>
  <c r="W1204" i="1"/>
  <c r="V1204" i="1"/>
  <c r="U1204" i="1"/>
  <c r="T1204" i="1"/>
  <c r="S1204" i="1"/>
  <c r="Q1204" i="1"/>
  <c r="P1204" i="1"/>
  <c r="O1204" i="1"/>
  <c r="N1204" i="1"/>
  <c r="M1204" i="1"/>
  <c r="L1204" i="1"/>
  <c r="K1204" i="1"/>
  <c r="J1204" i="1"/>
  <c r="I1204" i="1"/>
  <c r="H1204" i="1"/>
  <c r="Y1204" i="1" s="1"/>
  <c r="Z1204" i="1" s="1"/>
  <c r="G1204" i="1"/>
  <c r="F1204" i="1"/>
  <c r="E1204" i="1"/>
  <c r="AB1203" i="1"/>
  <c r="AA1203" i="1"/>
  <c r="X1203" i="1"/>
  <c r="W1203" i="1"/>
  <c r="V1203" i="1"/>
  <c r="U1203" i="1"/>
  <c r="T1203" i="1"/>
  <c r="S1203" i="1"/>
  <c r="R1203" i="1"/>
  <c r="Q1203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AB1197" i="1"/>
  <c r="AA1197" i="1"/>
  <c r="X1197" i="1"/>
  <c r="W1197" i="1"/>
  <c r="V1197" i="1"/>
  <c r="U1197" i="1"/>
  <c r="T1197" i="1"/>
  <c r="S1197" i="1"/>
  <c r="R1197" i="1"/>
  <c r="Y1197" i="1" s="1"/>
  <c r="Q1197" i="1"/>
  <c r="P1197" i="1"/>
  <c r="O1197" i="1"/>
  <c r="N1197" i="1"/>
  <c r="M1197" i="1"/>
  <c r="L1197" i="1"/>
  <c r="K1197" i="1"/>
  <c r="J1197" i="1"/>
  <c r="I1197" i="1"/>
  <c r="G1197" i="1"/>
  <c r="F1197" i="1"/>
  <c r="E1197" i="1"/>
  <c r="D1197" i="1"/>
  <c r="AF1246" i="1" s="1"/>
  <c r="AB1196" i="1"/>
  <c r="AA1196" i="1"/>
  <c r="X1196" i="1"/>
  <c r="W1196" i="1"/>
  <c r="V1196" i="1"/>
  <c r="U1196" i="1"/>
  <c r="T1196" i="1"/>
  <c r="S1196" i="1"/>
  <c r="R1196" i="1"/>
  <c r="Y1196" i="1" s="1"/>
  <c r="Q1196" i="1"/>
  <c r="P1196" i="1"/>
  <c r="O1196" i="1"/>
  <c r="AL1263" i="1" s="1"/>
  <c r="N1196" i="1"/>
  <c r="M1196" i="1"/>
  <c r="L1196" i="1"/>
  <c r="K1196" i="1"/>
  <c r="J1196" i="1"/>
  <c r="I1196" i="1"/>
  <c r="G1196" i="1"/>
  <c r="F1196" i="1"/>
  <c r="AH1263" i="1" s="1"/>
  <c r="E1196" i="1"/>
  <c r="D1196" i="1"/>
  <c r="AB1195" i="1"/>
  <c r="AA1195" i="1"/>
  <c r="X1195" i="1"/>
  <c r="W1195" i="1"/>
  <c r="V1195" i="1"/>
  <c r="U1195" i="1"/>
  <c r="T1195" i="1"/>
  <c r="S1195" i="1"/>
  <c r="R1195" i="1"/>
  <c r="Y1195" i="1" s="1"/>
  <c r="Q1195" i="1"/>
  <c r="P1195" i="1"/>
  <c r="O1195" i="1"/>
  <c r="N1195" i="1"/>
  <c r="M1195" i="1"/>
  <c r="L1195" i="1"/>
  <c r="K1195" i="1"/>
  <c r="J1195" i="1"/>
  <c r="I1195" i="1"/>
  <c r="G1195" i="1"/>
  <c r="F1195" i="1"/>
  <c r="E1195" i="1"/>
  <c r="D1195" i="1"/>
  <c r="AF1245" i="1" s="1"/>
  <c r="AB1194" i="1"/>
  <c r="AA1194" i="1"/>
  <c r="X1194" i="1"/>
  <c r="W1194" i="1"/>
  <c r="V1194" i="1"/>
  <c r="AO1249" i="1" s="1"/>
  <c r="U1194" i="1"/>
  <c r="T1194" i="1"/>
  <c r="S1194" i="1"/>
  <c r="R1194" i="1"/>
  <c r="Y1194" i="1" s="1"/>
  <c r="Z1194" i="1" s="1"/>
  <c r="Q1194" i="1"/>
  <c r="P1194" i="1"/>
  <c r="AM1249" i="1" s="1"/>
  <c r="O1194" i="1"/>
  <c r="AL1249" i="1" s="1"/>
  <c r="N1194" i="1"/>
  <c r="M1194" i="1"/>
  <c r="L1194" i="1"/>
  <c r="AJ1249" i="1" s="1"/>
  <c r="K1194" i="1"/>
  <c r="J1194" i="1"/>
  <c r="I1194" i="1"/>
  <c r="G1194" i="1"/>
  <c r="F1194" i="1"/>
  <c r="AH1249" i="1" s="1"/>
  <c r="E1194" i="1"/>
  <c r="AG1249" i="1" s="1"/>
  <c r="H1193" i="1"/>
  <c r="Y1193" i="1" s="1"/>
  <c r="D1193" i="1"/>
  <c r="H1192" i="1"/>
  <c r="Y1192" i="1" s="1"/>
  <c r="D1192" i="1"/>
  <c r="AB1191" i="1"/>
  <c r="AA1191" i="1"/>
  <c r="X1191" i="1"/>
  <c r="W1191" i="1"/>
  <c r="V1191" i="1"/>
  <c r="U1191" i="1"/>
  <c r="T1191" i="1"/>
  <c r="S1191" i="1"/>
  <c r="R1191" i="1"/>
  <c r="Q1191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H1190" i="1"/>
  <c r="Y1190" i="1" s="1"/>
  <c r="D1190" i="1"/>
  <c r="AB1189" i="1"/>
  <c r="AA1189" i="1"/>
  <c r="X1189" i="1"/>
  <c r="W1189" i="1"/>
  <c r="V1189" i="1"/>
  <c r="U1189" i="1"/>
  <c r="T1189" i="1"/>
  <c r="S1189" i="1"/>
  <c r="R1189" i="1"/>
  <c r="Q1189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AB1184" i="1"/>
  <c r="AA1184" i="1"/>
  <c r="X1184" i="1"/>
  <c r="W1184" i="1"/>
  <c r="V1184" i="1"/>
  <c r="U1184" i="1"/>
  <c r="T1184" i="1"/>
  <c r="S1184" i="1"/>
  <c r="R1184" i="1"/>
  <c r="Y1184" i="1" s="1"/>
  <c r="Q1184" i="1"/>
  <c r="P1184" i="1"/>
  <c r="AM1248" i="1" s="1"/>
  <c r="O1184" i="1"/>
  <c r="N1184" i="1"/>
  <c r="M1184" i="1"/>
  <c r="L1184" i="1"/>
  <c r="AJ1248" i="1" s="1"/>
  <c r="K1184" i="1"/>
  <c r="J1184" i="1"/>
  <c r="I1184" i="1"/>
  <c r="G1184" i="1"/>
  <c r="F1184" i="1"/>
  <c r="E1184" i="1"/>
  <c r="AG1248" i="1" s="1"/>
  <c r="D1184" i="1"/>
  <c r="AF1248" i="1" s="1"/>
  <c r="AB1183" i="1"/>
  <c r="AA1183" i="1"/>
  <c r="X1183" i="1"/>
  <c r="W1183" i="1"/>
  <c r="V1183" i="1"/>
  <c r="U1183" i="1"/>
  <c r="T1183" i="1"/>
  <c r="S1183" i="1"/>
  <c r="R1183" i="1"/>
  <c r="Y1183" i="1" s="1"/>
  <c r="Q1183" i="1"/>
  <c r="P1183" i="1"/>
  <c r="AM1247" i="1" s="1"/>
  <c r="O1183" i="1"/>
  <c r="N1183" i="1"/>
  <c r="M1183" i="1"/>
  <c r="L1183" i="1"/>
  <c r="AJ1247" i="1" s="1"/>
  <c r="K1183" i="1"/>
  <c r="J1183" i="1"/>
  <c r="I1183" i="1"/>
  <c r="G1183" i="1"/>
  <c r="F1183" i="1"/>
  <c r="E1183" i="1"/>
  <c r="D1183" i="1"/>
  <c r="Y1182" i="1"/>
  <c r="H1182" i="1"/>
  <c r="D1182" i="1"/>
  <c r="H1181" i="1"/>
  <c r="Y1181" i="1" s="1"/>
  <c r="Z1181" i="1" s="1"/>
  <c r="D1181" i="1"/>
  <c r="H1180" i="1"/>
  <c r="Y1180" i="1" s="1"/>
  <c r="D1180" i="1"/>
  <c r="H1179" i="1"/>
  <c r="Y1179" i="1" s="1"/>
  <c r="Z1179" i="1" s="1"/>
  <c r="D1179" i="1"/>
  <c r="H1178" i="1"/>
  <c r="Y1178" i="1" s="1"/>
  <c r="D1178" i="1"/>
  <c r="AB1177" i="1"/>
  <c r="AA1177" i="1"/>
  <c r="X1177" i="1"/>
  <c r="W1177" i="1"/>
  <c r="V1177" i="1"/>
  <c r="U1177" i="1"/>
  <c r="T1177" i="1"/>
  <c r="S1177" i="1"/>
  <c r="R1177" i="1"/>
  <c r="Q1177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AB1173" i="1"/>
  <c r="AA1173" i="1"/>
  <c r="X1173" i="1"/>
  <c r="W1173" i="1"/>
  <c r="V1173" i="1"/>
  <c r="U1173" i="1"/>
  <c r="T1173" i="1"/>
  <c r="S1173" i="1"/>
  <c r="R1173" i="1"/>
  <c r="Y1173" i="1" s="1"/>
  <c r="Z1173" i="1" s="1"/>
  <c r="Q1173" i="1"/>
  <c r="P1173" i="1"/>
  <c r="O1173" i="1"/>
  <c r="N1173" i="1"/>
  <c r="M1173" i="1"/>
  <c r="L1173" i="1"/>
  <c r="K1173" i="1"/>
  <c r="J1173" i="1"/>
  <c r="I1173" i="1"/>
  <c r="G1173" i="1"/>
  <c r="F1173" i="1"/>
  <c r="E1173" i="1"/>
  <c r="AB1172" i="1"/>
  <c r="AA1172" i="1"/>
  <c r="X1172" i="1"/>
  <c r="W1172" i="1"/>
  <c r="V1172" i="1"/>
  <c r="U1172" i="1"/>
  <c r="T1172" i="1"/>
  <c r="S1172" i="1"/>
  <c r="R1172" i="1"/>
  <c r="Y1172" i="1" s="1"/>
  <c r="Z1172" i="1" s="1"/>
  <c r="Q1172" i="1"/>
  <c r="P1172" i="1"/>
  <c r="O1172" i="1"/>
  <c r="N1172" i="1"/>
  <c r="M1172" i="1"/>
  <c r="L1172" i="1"/>
  <c r="K1172" i="1"/>
  <c r="J1172" i="1"/>
  <c r="I1172" i="1"/>
  <c r="G1172" i="1"/>
  <c r="F1172" i="1"/>
  <c r="E1172" i="1"/>
  <c r="H1171" i="1"/>
  <c r="Y1171" i="1" s="1"/>
  <c r="D1171" i="1"/>
  <c r="H1170" i="1"/>
  <c r="Y1170" i="1" s="1"/>
  <c r="D1170" i="1"/>
  <c r="H1169" i="1"/>
  <c r="Y1169" i="1" s="1"/>
  <c r="D1169" i="1"/>
  <c r="H1168" i="1"/>
  <c r="Y1168" i="1" s="1"/>
  <c r="D1168" i="1"/>
  <c r="AB1167" i="1"/>
  <c r="AA1167" i="1"/>
  <c r="X1167" i="1"/>
  <c r="W1167" i="1"/>
  <c r="V1167" i="1"/>
  <c r="U1167" i="1"/>
  <c r="T1167" i="1"/>
  <c r="S1167" i="1"/>
  <c r="R1167" i="1"/>
  <c r="Q1167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AB1166" i="1"/>
  <c r="AA1166" i="1"/>
  <c r="X1166" i="1"/>
  <c r="W1166" i="1"/>
  <c r="V1166" i="1"/>
  <c r="U1166" i="1"/>
  <c r="T1166" i="1"/>
  <c r="S1166" i="1"/>
  <c r="R1166" i="1"/>
  <c r="Q1166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AB1156" i="1"/>
  <c r="AA1156" i="1"/>
  <c r="X1156" i="1"/>
  <c r="W1156" i="1"/>
  <c r="V1156" i="1"/>
  <c r="AO1159" i="1" s="1"/>
  <c r="U1156" i="1"/>
  <c r="T1156" i="1"/>
  <c r="S1156" i="1"/>
  <c r="R1156" i="1"/>
  <c r="Y1156" i="1" s="1"/>
  <c r="Q1156" i="1"/>
  <c r="P1156" i="1"/>
  <c r="O1156" i="1"/>
  <c r="N1156" i="1"/>
  <c r="M1156" i="1"/>
  <c r="L1156" i="1"/>
  <c r="K1156" i="1"/>
  <c r="J1156" i="1"/>
  <c r="I1156" i="1"/>
  <c r="G1156" i="1"/>
  <c r="F1156" i="1"/>
  <c r="AH1159" i="1" s="1"/>
  <c r="E1156" i="1"/>
  <c r="D1156" i="1"/>
  <c r="AF1159" i="1" s="1"/>
  <c r="AB1155" i="1"/>
  <c r="AA1155" i="1"/>
  <c r="X1155" i="1"/>
  <c r="W1155" i="1"/>
  <c r="V1155" i="1"/>
  <c r="U1155" i="1"/>
  <c r="T1155" i="1"/>
  <c r="S1155" i="1"/>
  <c r="R1155" i="1"/>
  <c r="Y1155" i="1" s="1"/>
  <c r="Q1155" i="1"/>
  <c r="P1155" i="1"/>
  <c r="O1155" i="1"/>
  <c r="N1155" i="1"/>
  <c r="M1155" i="1"/>
  <c r="L1155" i="1"/>
  <c r="K1155" i="1"/>
  <c r="J1155" i="1"/>
  <c r="I1155" i="1"/>
  <c r="G1155" i="1"/>
  <c r="F1155" i="1"/>
  <c r="E1155" i="1"/>
  <c r="D1155" i="1"/>
  <c r="AB1154" i="1"/>
  <c r="AA1154" i="1"/>
  <c r="X1154" i="1"/>
  <c r="W1154" i="1"/>
  <c r="V1154" i="1"/>
  <c r="AO1158" i="1" s="1"/>
  <c r="U1154" i="1"/>
  <c r="T1154" i="1"/>
  <c r="S1154" i="1"/>
  <c r="R1154" i="1"/>
  <c r="Y1154" i="1" s="1"/>
  <c r="Q1154" i="1"/>
  <c r="P1154" i="1"/>
  <c r="AM1158" i="1" s="1"/>
  <c r="O1154" i="1"/>
  <c r="AL1158" i="1" s="1"/>
  <c r="N1154" i="1"/>
  <c r="M1154" i="1"/>
  <c r="L1154" i="1"/>
  <c r="AJ1158" i="1" s="1"/>
  <c r="K1154" i="1"/>
  <c r="J1154" i="1"/>
  <c r="I1154" i="1"/>
  <c r="G1154" i="1"/>
  <c r="F1154" i="1"/>
  <c r="AH1158" i="1" s="1"/>
  <c r="E1154" i="1"/>
  <c r="AG1158" i="1" s="1"/>
  <c r="D1154" i="1"/>
  <c r="AF1158" i="1" s="1"/>
  <c r="AB1153" i="1"/>
  <c r="AA1153" i="1"/>
  <c r="X1153" i="1"/>
  <c r="W1153" i="1"/>
  <c r="V1153" i="1"/>
  <c r="U1153" i="1"/>
  <c r="T1153" i="1"/>
  <c r="S1153" i="1"/>
  <c r="Q1153" i="1"/>
  <c r="P1153" i="1"/>
  <c r="O1153" i="1"/>
  <c r="N1153" i="1"/>
  <c r="M1153" i="1"/>
  <c r="L1153" i="1"/>
  <c r="K1153" i="1"/>
  <c r="J1153" i="1"/>
  <c r="I1153" i="1"/>
  <c r="H1153" i="1"/>
  <c r="Y1153" i="1" s="1"/>
  <c r="G1153" i="1"/>
  <c r="F1153" i="1"/>
  <c r="E1153" i="1"/>
  <c r="D1153" i="1"/>
  <c r="AB1152" i="1"/>
  <c r="AA1152" i="1"/>
  <c r="X1152" i="1"/>
  <c r="W1152" i="1"/>
  <c r="V1152" i="1"/>
  <c r="U1152" i="1"/>
  <c r="T1152" i="1"/>
  <c r="S1152" i="1"/>
  <c r="R1152" i="1"/>
  <c r="Y1152" i="1" s="1"/>
  <c r="Q1152" i="1"/>
  <c r="P1152" i="1"/>
  <c r="O1152" i="1"/>
  <c r="N1152" i="1"/>
  <c r="M1152" i="1"/>
  <c r="L1152" i="1"/>
  <c r="K1152" i="1"/>
  <c r="J1152" i="1"/>
  <c r="I1152" i="1"/>
  <c r="G1152" i="1"/>
  <c r="F1152" i="1"/>
  <c r="E1152" i="1"/>
  <c r="D1152" i="1"/>
  <c r="AB1151" i="1"/>
  <c r="AA1151" i="1"/>
  <c r="Z1151" i="1"/>
  <c r="X1151" i="1"/>
  <c r="W1151" i="1"/>
  <c r="V1151" i="1"/>
  <c r="U1151" i="1"/>
  <c r="T1151" i="1"/>
  <c r="S1151" i="1"/>
  <c r="R1151" i="1"/>
  <c r="Y1151" i="1" s="1"/>
  <c r="Q1151" i="1"/>
  <c r="P1151" i="1"/>
  <c r="O1151" i="1"/>
  <c r="N1151" i="1"/>
  <c r="M1151" i="1"/>
  <c r="L1151" i="1"/>
  <c r="K1151" i="1"/>
  <c r="J1151" i="1"/>
  <c r="I1151" i="1"/>
  <c r="G1151" i="1"/>
  <c r="F1151" i="1"/>
  <c r="E1151" i="1"/>
  <c r="D1151" i="1"/>
  <c r="R1149" i="1"/>
  <c r="AB1147" i="1"/>
  <c r="AA1147" i="1"/>
  <c r="Y1147" i="1"/>
  <c r="Z1147" i="1" s="1"/>
  <c r="X1147" i="1"/>
  <c r="W1147" i="1"/>
  <c r="V1147" i="1"/>
  <c r="U1147" i="1"/>
  <c r="T1147" i="1"/>
  <c r="S1147" i="1"/>
  <c r="Q1147" i="1"/>
  <c r="P1147" i="1"/>
  <c r="O1147" i="1"/>
  <c r="N1147" i="1"/>
  <c r="M1147" i="1"/>
  <c r="L1147" i="1"/>
  <c r="K1147" i="1"/>
  <c r="J1147" i="1"/>
  <c r="I1147" i="1"/>
  <c r="G1147" i="1"/>
  <c r="F1147" i="1"/>
  <c r="E1147" i="1"/>
  <c r="AB1146" i="1"/>
  <c r="AA1146" i="1"/>
  <c r="Y1146" i="1"/>
  <c r="Z1146" i="1" s="1"/>
  <c r="X1146" i="1"/>
  <c r="W1146" i="1"/>
  <c r="V1146" i="1"/>
  <c r="U1146" i="1"/>
  <c r="T1146" i="1"/>
  <c r="S1146" i="1"/>
  <c r="Q1146" i="1"/>
  <c r="P1146" i="1"/>
  <c r="O1146" i="1"/>
  <c r="N1146" i="1"/>
  <c r="M1146" i="1"/>
  <c r="L1146" i="1"/>
  <c r="K1146" i="1"/>
  <c r="J1146" i="1"/>
  <c r="I1146" i="1"/>
  <c r="G1146" i="1"/>
  <c r="F1146" i="1"/>
  <c r="E1146" i="1"/>
  <c r="H1145" i="1"/>
  <c r="Y1145" i="1" s="1"/>
  <c r="D1145" i="1"/>
  <c r="H1144" i="1"/>
  <c r="Y1144" i="1" s="1"/>
  <c r="D1144" i="1"/>
  <c r="AB1143" i="1"/>
  <c r="AA1143" i="1"/>
  <c r="X1143" i="1"/>
  <c r="W1143" i="1"/>
  <c r="V1143" i="1"/>
  <c r="U1143" i="1"/>
  <c r="T1143" i="1"/>
  <c r="S1143" i="1"/>
  <c r="Q1143" i="1"/>
  <c r="P1143" i="1"/>
  <c r="O1143" i="1"/>
  <c r="N1143" i="1"/>
  <c r="M1143" i="1"/>
  <c r="L1143" i="1"/>
  <c r="K1143" i="1"/>
  <c r="J1143" i="1"/>
  <c r="I1143" i="1"/>
  <c r="H1143" i="1"/>
  <c r="Y1143" i="1" s="1"/>
  <c r="G1143" i="1"/>
  <c r="F1143" i="1"/>
  <c r="E1143" i="1"/>
  <c r="D1143" i="1"/>
  <c r="H1142" i="1"/>
  <c r="Y1142" i="1" s="1"/>
  <c r="D1142" i="1"/>
  <c r="AB1141" i="1"/>
  <c r="AA1141" i="1"/>
  <c r="X1141" i="1"/>
  <c r="X1149" i="1" s="1"/>
  <c r="W1141" i="1"/>
  <c r="V1141" i="1"/>
  <c r="U1141" i="1"/>
  <c r="T1141" i="1"/>
  <c r="S1141" i="1"/>
  <c r="Q1141" i="1"/>
  <c r="P1141" i="1"/>
  <c r="O1141" i="1"/>
  <c r="O1149" i="1" s="1"/>
  <c r="N1141" i="1"/>
  <c r="M1141" i="1"/>
  <c r="L1141" i="1"/>
  <c r="K1141" i="1"/>
  <c r="J1141" i="1"/>
  <c r="I1141" i="1"/>
  <c r="H1141" i="1"/>
  <c r="G1141" i="1"/>
  <c r="F1141" i="1"/>
  <c r="E1141" i="1"/>
  <c r="D1141" i="1"/>
  <c r="AB1140" i="1"/>
  <c r="AA1140" i="1"/>
  <c r="AB1139" i="1"/>
  <c r="AA1139" i="1"/>
  <c r="AB1138" i="1"/>
  <c r="AA1138" i="1"/>
  <c r="Z1138" i="1"/>
  <c r="X1138" i="1"/>
  <c r="W1138" i="1"/>
  <c r="V1138" i="1"/>
  <c r="U1138" i="1"/>
  <c r="T1138" i="1"/>
  <c r="S1138" i="1"/>
  <c r="Q1138" i="1"/>
  <c r="P1138" i="1"/>
  <c r="O1138" i="1"/>
  <c r="N1138" i="1"/>
  <c r="M1138" i="1"/>
  <c r="L1138" i="1"/>
  <c r="K1138" i="1"/>
  <c r="J1138" i="1"/>
  <c r="I1138" i="1"/>
  <c r="G1138" i="1"/>
  <c r="F1138" i="1"/>
  <c r="E1138" i="1"/>
  <c r="R1136" i="1"/>
  <c r="AB1134" i="1"/>
  <c r="AA1134" i="1"/>
  <c r="Y1134" i="1"/>
  <c r="X1134" i="1"/>
  <c r="W1134" i="1"/>
  <c r="V1134" i="1"/>
  <c r="U1134" i="1"/>
  <c r="T1134" i="1"/>
  <c r="S1134" i="1"/>
  <c r="Q1134" i="1"/>
  <c r="P1134" i="1"/>
  <c r="O1134" i="1"/>
  <c r="N1134" i="1"/>
  <c r="M1134" i="1"/>
  <c r="L1134" i="1"/>
  <c r="K1134" i="1"/>
  <c r="J1134" i="1"/>
  <c r="I1134" i="1"/>
  <c r="G1134" i="1"/>
  <c r="F1134" i="1"/>
  <c r="E1134" i="1"/>
  <c r="D1134" i="1"/>
  <c r="AB1133" i="1"/>
  <c r="AA1133" i="1"/>
  <c r="Y1133" i="1"/>
  <c r="X1133" i="1"/>
  <c r="W1133" i="1"/>
  <c r="V1133" i="1"/>
  <c r="U1133" i="1"/>
  <c r="T1133" i="1"/>
  <c r="S1133" i="1"/>
  <c r="Q1133" i="1"/>
  <c r="P1133" i="1"/>
  <c r="O1133" i="1"/>
  <c r="N1133" i="1"/>
  <c r="M1133" i="1"/>
  <c r="L1133" i="1"/>
  <c r="K1133" i="1"/>
  <c r="J1133" i="1"/>
  <c r="I1133" i="1"/>
  <c r="G1133" i="1"/>
  <c r="F1133" i="1"/>
  <c r="E1133" i="1"/>
  <c r="D1133" i="1"/>
  <c r="AB1132" i="1"/>
  <c r="AA1132" i="1"/>
  <c r="Y1132" i="1"/>
  <c r="X1132" i="1"/>
  <c r="W1132" i="1"/>
  <c r="V1132" i="1"/>
  <c r="U1132" i="1"/>
  <c r="T1132" i="1"/>
  <c r="S1132" i="1"/>
  <c r="Q1132" i="1"/>
  <c r="P1132" i="1"/>
  <c r="O1132" i="1"/>
  <c r="N1132" i="1"/>
  <c r="M1132" i="1"/>
  <c r="L1132" i="1"/>
  <c r="K1132" i="1"/>
  <c r="J1132" i="1"/>
  <c r="I1132" i="1"/>
  <c r="G1132" i="1"/>
  <c r="F1132" i="1"/>
  <c r="E1132" i="1"/>
  <c r="D1132" i="1"/>
  <c r="AF1155" i="1" s="1"/>
  <c r="AB1131" i="1"/>
  <c r="AA1131" i="1"/>
  <c r="X1131" i="1"/>
  <c r="W1131" i="1"/>
  <c r="V1131" i="1"/>
  <c r="U1131" i="1"/>
  <c r="T1131" i="1"/>
  <c r="S1131" i="1"/>
  <c r="Q1131" i="1"/>
  <c r="P1131" i="1"/>
  <c r="O1131" i="1"/>
  <c r="N1131" i="1"/>
  <c r="M1131" i="1"/>
  <c r="L1131" i="1"/>
  <c r="K1131" i="1"/>
  <c r="J1131" i="1"/>
  <c r="I1131" i="1"/>
  <c r="H1131" i="1"/>
  <c r="Y1131" i="1" s="1"/>
  <c r="G1131" i="1"/>
  <c r="F1131" i="1"/>
  <c r="E1131" i="1"/>
  <c r="D1131" i="1"/>
  <c r="AB1130" i="1"/>
  <c r="AA1130" i="1"/>
  <c r="X1130" i="1"/>
  <c r="W1130" i="1"/>
  <c r="V1130" i="1"/>
  <c r="U1130" i="1"/>
  <c r="T1130" i="1"/>
  <c r="S1130" i="1"/>
  <c r="Q1130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AB1129" i="1"/>
  <c r="AA1129" i="1"/>
  <c r="Y1126" i="1"/>
  <c r="X1126" i="1"/>
  <c r="W1126" i="1"/>
  <c r="V1126" i="1"/>
  <c r="U1126" i="1"/>
  <c r="T1126" i="1"/>
  <c r="S1126" i="1"/>
  <c r="R1126" i="1"/>
  <c r="D1126" i="1"/>
  <c r="Z1126" i="1" s="1"/>
  <c r="AB1122" i="1"/>
  <c r="AA1122" i="1"/>
  <c r="Y1122" i="1"/>
  <c r="Z1122" i="1" s="1"/>
  <c r="X1122" i="1"/>
  <c r="W1122" i="1"/>
  <c r="V1122" i="1"/>
  <c r="U1122" i="1"/>
  <c r="T1122" i="1"/>
  <c r="S1122" i="1"/>
  <c r="Q1122" i="1"/>
  <c r="P1122" i="1"/>
  <c r="O1122" i="1"/>
  <c r="N1122" i="1"/>
  <c r="M1122" i="1"/>
  <c r="L1122" i="1"/>
  <c r="K1122" i="1"/>
  <c r="J1122" i="1"/>
  <c r="I1122" i="1"/>
  <c r="G1122" i="1"/>
  <c r="F1122" i="1"/>
  <c r="E1122" i="1"/>
  <c r="AB1121" i="1"/>
  <c r="AA1121" i="1"/>
  <c r="Y1121" i="1"/>
  <c r="Z1121" i="1" s="1"/>
  <c r="X1121" i="1"/>
  <c r="W1121" i="1"/>
  <c r="V1121" i="1"/>
  <c r="U1121" i="1"/>
  <c r="T1121" i="1"/>
  <c r="S1121" i="1"/>
  <c r="Q1121" i="1"/>
  <c r="P1121" i="1"/>
  <c r="O1121" i="1"/>
  <c r="N1121" i="1"/>
  <c r="M1121" i="1"/>
  <c r="L1121" i="1"/>
  <c r="K1121" i="1"/>
  <c r="J1121" i="1"/>
  <c r="I1121" i="1"/>
  <c r="G1121" i="1"/>
  <c r="F1121" i="1"/>
  <c r="E1121" i="1"/>
  <c r="AB1120" i="1"/>
  <c r="AA1120" i="1"/>
  <c r="X1120" i="1"/>
  <c r="W1120" i="1"/>
  <c r="V1120" i="1"/>
  <c r="U1120" i="1"/>
  <c r="T1120" i="1"/>
  <c r="S1120" i="1"/>
  <c r="Q1120" i="1"/>
  <c r="P1120" i="1"/>
  <c r="O1120" i="1"/>
  <c r="N1120" i="1"/>
  <c r="M1120" i="1"/>
  <c r="L1120" i="1"/>
  <c r="K1120" i="1"/>
  <c r="J1120" i="1"/>
  <c r="I1120" i="1"/>
  <c r="H1120" i="1"/>
  <c r="Y1120" i="1" s="1"/>
  <c r="G1120" i="1"/>
  <c r="F1120" i="1"/>
  <c r="E1120" i="1"/>
  <c r="D1120" i="1"/>
  <c r="AB1119" i="1"/>
  <c r="AA1119" i="1"/>
  <c r="X1119" i="1"/>
  <c r="W1119" i="1"/>
  <c r="V1119" i="1"/>
  <c r="U1119" i="1"/>
  <c r="T1119" i="1"/>
  <c r="S1119" i="1"/>
  <c r="R1119" i="1"/>
  <c r="R1124" i="1" s="1"/>
  <c r="Q1119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AB1118" i="1"/>
  <c r="AA1118" i="1"/>
  <c r="Z1118" i="1"/>
  <c r="X1118" i="1"/>
  <c r="W1118" i="1"/>
  <c r="V1118" i="1"/>
  <c r="U1118" i="1"/>
  <c r="T1118" i="1"/>
  <c r="S1118" i="1"/>
  <c r="R1118" i="1"/>
  <c r="Y1118" i="1" s="1"/>
  <c r="Q1118" i="1"/>
  <c r="P1118" i="1"/>
  <c r="O1118" i="1"/>
  <c r="N1118" i="1"/>
  <c r="M1118" i="1"/>
  <c r="L1118" i="1"/>
  <c r="K1118" i="1"/>
  <c r="J1118" i="1"/>
  <c r="I1118" i="1"/>
  <c r="G1118" i="1"/>
  <c r="F1118" i="1"/>
  <c r="E1118" i="1"/>
  <c r="D1118" i="1"/>
  <c r="R1116" i="1"/>
  <c r="AB1114" i="1"/>
  <c r="AA1114" i="1"/>
  <c r="Y1114" i="1"/>
  <c r="Z1114" i="1" s="1"/>
  <c r="X1114" i="1"/>
  <c r="W1114" i="1"/>
  <c r="V1114" i="1"/>
  <c r="U1114" i="1"/>
  <c r="T1114" i="1"/>
  <c r="S1114" i="1"/>
  <c r="Q1114" i="1"/>
  <c r="P1114" i="1"/>
  <c r="O1114" i="1"/>
  <c r="N1114" i="1"/>
  <c r="M1114" i="1"/>
  <c r="L1114" i="1"/>
  <c r="K1114" i="1"/>
  <c r="J1114" i="1"/>
  <c r="I1114" i="1"/>
  <c r="G1114" i="1"/>
  <c r="F1114" i="1"/>
  <c r="E1114" i="1"/>
  <c r="AB1113" i="1"/>
  <c r="AA1113" i="1"/>
  <c r="Y1113" i="1"/>
  <c r="Z1113" i="1" s="1"/>
  <c r="X1113" i="1"/>
  <c r="W1113" i="1"/>
  <c r="V1113" i="1"/>
  <c r="U1113" i="1"/>
  <c r="T1113" i="1"/>
  <c r="S1113" i="1"/>
  <c r="Q1113" i="1"/>
  <c r="P1113" i="1"/>
  <c r="AM1155" i="1" s="1"/>
  <c r="O1113" i="1"/>
  <c r="N1113" i="1"/>
  <c r="M1113" i="1"/>
  <c r="L1113" i="1"/>
  <c r="K1113" i="1"/>
  <c r="J1113" i="1"/>
  <c r="I1113" i="1"/>
  <c r="G1113" i="1"/>
  <c r="F1113" i="1"/>
  <c r="E1113" i="1"/>
  <c r="H1112" i="1"/>
  <c r="Y1112" i="1" s="1"/>
  <c r="Z1112" i="1" s="1"/>
  <c r="D1112" i="1"/>
  <c r="AB1111" i="1"/>
  <c r="AA1111" i="1"/>
  <c r="X1111" i="1"/>
  <c r="W1111" i="1"/>
  <c r="V1111" i="1"/>
  <c r="AO1152" i="1" s="1"/>
  <c r="U1111" i="1"/>
  <c r="T1111" i="1"/>
  <c r="S1111" i="1"/>
  <c r="Q1111" i="1"/>
  <c r="P1111" i="1"/>
  <c r="AM1152" i="1" s="1"/>
  <c r="O1111" i="1"/>
  <c r="AL1152" i="1" s="1"/>
  <c r="N1111" i="1"/>
  <c r="M1111" i="1"/>
  <c r="L1111" i="1"/>
  <c r="AJ1152" i="1" s="1"/>
  <c r="K1111" i="1"/>
  <c r="J1111" i="1"/>
  <c r="I1111" i="1"/>
  <c r="H1111" i="1"/>
  <c r="Y1111" i="1" s="1"/>
  <c r="G1111" i="1"/>
  <c r="F1111" i="1"/>
  <c r="AH1152" i="1" s="1"/>
  <c r="E1111" i="1"/>
  <c r="AG1152" i="1" s="1"/>
  <c r="D1111" i="1"/>
  <c r="AF1152" i="1" s="1"/>
  <c r="AB1110" i="1"/>
  <c r="AA1110" i="1"/>
  <c r="X1110" i="1"/>
  <c r="W1110" i="1"/>
  <c r="V1110" i="1"/>
  <c r="AO1151" i="1" s="1"/>
  <c r="U1110" i="1"/>
  <c r="T1110" i="1"/>
  <c r="S1110" i="1"/>
  <c r="Q1110" i="1"/>
  <c r="P1110" i="1"/>
  <c r="AM1151" i="1" s="1"/>
  <c r="O1110" i="1"/>
  <c r="AL1151" i="1" s="1"/>
  <c r="N1110" i="1"/>
  <c r="M1110" i="1"/>
  <c r="L1110" i="1"/>
  <c r="AJ1151" i="1" s="1"/>
  <c r="K1110" i="1"/>
  <c r="J1110" i="1"/>
  <c r="I1110" i="1"/>
  <c r="H1110" i="1"/>
  <c r="Y1110" i="1" s="1"/>
  <c r="G1110" i="1"/>
  <c r="F1110" i="1"/>
  <c r="AH1151" i="1" s="1"/>
  <c r="E1110" i="1"/>
  <c r="AG1151" i="1" s="1"/>
  <c r="D1110" i="1"/>
  <c r="AF1151" i="1" s="1"/>
  <c r="AB1109" i="1"/>
  <c r="AA1109" i="1"/>
  <c r="Y1109" i="1"/>
  <c r="Z1109" i="1" s="1"/>
  <c r="X1109" i="1"/>
  <c r="W1109" i="1"/>
  <c r="V1109" i="1"/>
  <c r="U1109" i="1"/>
  <c r="T1109" i="1"/>
  <c r="S1109" i="1"/>
  <c r="Q1109" i="1"/>
  <c r="P1109" i="1"/>
  <c r="O1109" i="1"/>
  <c r="N1109" i="1"/>
  <c r="M1109" i="1"/>
  <c r="L1109" i="1"/>
  <c r="K1109" i="1"/>
  <c r="J1109" i="1"/>
  <c r="I1109" i="1"/>
  <c r="G1109" i="1"/>
  <c r="F1109" i="1"/>
  <c r="E1109" i="1"/>
  <c r="AB1108" i="1"/>
  <c r="AA1108" i="1"/>
  <c r="X1108" i="1"/>
  <c r="W1108" i="1"/>
  <c r="V1108" i="1"/>
  <c r="U1108" i="1"/>
  <c r="T1108" i="1"/>
  <c r="S1108" i="1"/>
  <c r="Q1108" i="1"/>
  <c r="P1108" i="1"/>
  <c r="O1108" i="1"/>
  <c r="N1108" i="1"/>
  <c r="M1108" i="1"/>
  <c r="L1108" i="1"/>
  <c r="K1108" i="1"/>
  <c r="J1108" i="1"/>
  <c r="I1108" i="1"/>
  <c r="H1108" i="1"/>
  <c r="Y1108" i="1" s="1"/>
  <c r="G1108" i="1"/>
  <c r="F1108" i="1"/>
  <c r="E1108" i="1"/>
  <c r="D1108" i="1"/>
  <c r="AB1107" i="1"/>
  <c r="AA1107" i="1"/>
  <c r="X1107" i="1"/>
  <c r="W1107" i="1"/>
  <c r="V1107" i="1"/>
  <c r="U1107" i="1"/>
  <c r="T1107" i="1"/>
  <c r="S1107" i="1"/>
  <c r="Q1107" i="1"/>
  <c r="P1107" i="1"/>
  <c r="O1107" i="1"/>
  <c r="N1107" i="1"/>
  <c r="M1107" i="1"/>
  <c r="L1107" i="1"/>
  <c r="K1107" i="1"/>
  <c r="J1107" i="1"/>
  <c r="I1107" i="1"/>
  <c r="H1107" i="1"/>
  <c r="Y1107" i="1" s="1"/>
  <c r="G1107" i="1"/>
  <c r="F1107" i="1"/>
  <c r="E1107" i="1"/>
  <c r="D1107" i="1"/>
  <c r="R1099" i="1"/>
  <c r="AF1098" i="1"/>
  <c r="AB1097" i="1"/>
  <c r="AA1097" i="1"/>
  <c r="Y1097" i="1"/>
  <c r="Z1097" i="1" s="1"/>
  <c r="X1097" i="1"/>
  <c r="W1097" i="1"/>
  <c r="V1097" i="1"/>
  <c r="U1097" i="1"/>
  <c r="T1097" i="1"/>
  <c r="S1097" i="1"/>
  <c r="Q1097" i="1"/>
  <c r="P1097" i="1"/>
  <c r="O1097" i="1"/>
  <c r="N1097" i="1"/>
  <c r="M1097" i="1"/>
  <c r="L1097" i="1"/>
  <c r="K1097" i="1"/>
  <c r="J1097" i="1"/>
  <c r="I1097" i="1"/>
  <c r="G1097" i="1"/>
  <c r="F1097" i="1"/>
  <c r="E1097" i="1"/>
  <c r="H1096" i="1"/>
  <c r="Y1096" i="1" s="1"/>
  <c r="D1096" i="1"/>
  <c r="H1095" i="1"/>
  <c r="Y1095" i="1" s="1"/>
  <c r="D1095" i="1"/>
  <c r="AB1094" i="1"/>
  <c r="AA1094" i="1"/>
  <c r="X1094" i="1"/>
  <c r="W1094" i="1"/>
  <c r="V1094" i="1"/>
  <c r="U1094" i="1"/>
  <c r="T1094" i="1"/>
  <c r="S1094" i="1"/>
  <c r="Q1094" i="1"/>
  <c r="P1094" i="1"/>
  <c r="O1094" i="1"/>
  <c r="N1094" i="1"/>
  <c r="M1094" i="1"/>
  <c r="L1094" i="1"/>
  <c r="K1094" i="1"/>
  <c r="J1094" i="1"/>
  <c r="I1094" i="1"/>
  <c r="H1094" i="1"/>
  <c r="Y1094" i="1" s="1"/>
  <c r="G1094" i="1"/>
  <c r="F1094" i="1"/>
  <c r="E1094" i="1"/>
  <c r="D1094" i="1"/>
  <c r="AB1093" i="1"/>
  <c r="AA1093" i="1"/>
  <c r="X1093" i="1"/>
  <c r="W1093" i="1"/>
  <c r="V1093" i="1"/>
  <c r="U1093" i="1"/>
  <c r="T1093" i="1"/>
  <c r="S1093" i="1"/>
  <c r="S1099" i="1" s="1"/>
  <c r="Q1093" i="1"/>
  <c r="P1093" i="1"/>
  <c r="O1093" i="1"/>
  <c r="N1093" i="1"/>
  <c r="N1099" i="1" s="1"/>
  <c r="M1093" i="1"/>
  <c r="L1093" i="1"/>
  <c r="K1093" i="1"/>
  <c r="J1093" i="1"/>
  <c r="J1099" i="1" s="1"/>
  <c r="I1093" i="1"/>
  <c r="H1093" i="1"/>
  <c r="G1093" i="1"/>
  <c r="F1093" i="1"/>
  <c r="E1093" i="1"/>
  <c r="D1093" i="1"/>
  <c r="AB1087" i="1"/>
  <c r="AA1087" i="1"/>
  <c r="X1087" i="1"/>
  <c r="W1087" i="1"/>
  <c r="V1087" i="1"/>
  <c r="U1087" i="1"/>
  <c r="T1087" i="1"/>
  <c r="S1087" i="1"/>
  <c r="R1087" i="1"/>
  <c r="Y1087" i="1" s="1"/>
  <c r="Q1087" i="1"/>
  <c r="P1087" i="1"/>
  <c r="O1087" i="1"/>
  <c r="N1087" i="1"/>
  <c r="M1087" i="1"/>
  <c r="L1087" i="1"/>
  <c r="K1087" i="1"/>
  <c r="J1087" i="1"/>
  <c r="I1087" i="1"/>
  <c r="G1087" i="1"/>
  <c r="F1087" i="1"/>
  <c r="E1087" i="1"/>
  <c r="D1087" i="1"/>
  <c r="Z1087" i="1" s="1"/>
  <c r="AB1086" i="1"/>
  <c r="AA1086" i="1"/>
  <c r="X1086" i="1"/>
  <c r="W1086" i="1"/>
  <c r="V1086" i="1"/>
  <c r="U1086" i="1"/>
  <c r="T1086" i="1"/>
  <c r="S1086" i="1"/>
  <c r="R1086" i="1"/>
  <c r="Q1086" i="1"/>
  <c r="P1086" i="1"/>
  <c r="O1086" i="1"/>
  <c r="N1086" i="1"/>
  <c r="M1086" i="1"/>
  <c r="L1086" i="1"/>
  <c r="K1086" i="1"/>
  <c r="J1086" i="1"/>
  <c r="I1086" i="1"/>
  <c r="G1086" i="1"/>
  <c r="F1086" i="1"/>
  <c r="E1086" i="1"/>
  <c r="D1086" i="1"/>
  <c r="AB1085" i="1"/>
  <c r="AA1085" i="1"/>
  <c r="X1085" i="1"/>
  <c r="W1085" i="1"/>
  <c r="V1085" i="1"/>
  <c r="U1085" i="1"/>
  <c r="T1085" i="1"/>
  <c r="S1085" i="1"/>
  <c r="Q1085" i="1"/>
  <c r="P1085" i="1"/>
  <c r="O1085" i="1"/>
  <c r="N1085" i="1"/>
  <c r="M1085" i="1"/>
  <c r="L1085" i="1"/>
  <c r="K1085" i="1"/>
  <c r="J1085" i="1"/>
  <c r="I1085" i="1"/>
  <c r="H1085" i="1"/>
  <c r="Y1085" i="1" s="1"/>
  <c r="G1085" i="1"/>
  <c r="F1085" i="1"/>
  <c r="E1085" i="1"/>
  <c r="D1085" i="1"/>
  <c r="AB1084" i="1"/>
  <c r="AA1084" i="1"/>
  <c r="X1084" i="1"/>
  <c r="W1084" i="1"/>
  <c r="V1084" i="1"/>
  <c r="U1084" i="1"/>
  <c r="T1084" i="1"/>
  <c r="S1084" i="1"/>
  <c r="Q1084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AB1083" i="1"/>
  <c r="AA1083" i="1"/>
  <c r="Y1083" i="1"/>
  <c r="X1083" i="1"/>
  <c r="W1083" i="1"/>
  <c r="V1083" i="1"/>
  <c r="U1083" i="1"/>
  <c r="T1083" i="1"/>
  <c r="S1083" i="1"/>
  <c r="Q1083" i="1"/>
  <c r="P1083" i="1"/>
  <c r="O1083" i="1"/>
  <c r="N1083" i="1"/>
  <c r="M1083" i="1"/>
  <c r="L1083" i="1"/>
  <c r="K1083" i="1"/>
  <c r="J1083" i="1"/>
  <c r="I1083" i="1"/>
  <c r="G1083" i="1"/>
  <c r="F1083" i="1"/>
  <c r="E1083" i="1"/>
  <c r="D1083" i="1"/>
  <c r="R1081" i="1"/>
  <c r="AB1079" i="1"/>
  <c r="AA1079" i="1"/>
  <c r="X1079" i="1"/>
  <c r="W1079" i="1"/>
  <c r="V1079" i="1"/>
  <c r="AO1099" i="1" s="1"/>
  <c r="U1079" i="1"/>
  <c r="T1079" i="1"/>
  <c r="S1079" i="1"/>
  <c r="Q1079" i="1"/>
  <c r="P1079" i="1"/>
  <c r="AM1099" i="1" s="1"/>
  <c r="O1079" i="1"/>
  <c r="AL1099" i="1" s="1"/>
  <c r="N1079" i="1"/>
  <c r="M1079" i="1"/>
  <c r="L1079" i="1"/>
  <c r="AJ1099" i="1" s="1"/>
  <c r="K1079" i="1"/>
  <c r="J1079" i="1"/>
  <c r="I1079" i="1"/>
  <c r="H1079" i="1"/>
  <c r="Y1079" i="1" s="1"/>
  <c r="G1079" i="1"/>
  <c r="F1079" i="1"/>
  <c r="AH1099" i="1" s="1"/>
  <c r="E1079" i="1"/>
  <c r="AG1099" i="1" s="1"/>
  <c r="D1079" i="1"/>
  <c r="AF1099" i="1" s="1"/>
  <c r="H1078" i="1"/>
  <c r="Y1078" i="1" s="1"/>
  <c r="D1078" i="1"/>
  <c r="H1077" i="1"/>
  <c r="Y1077" i="1" s="1"/>
  <c r="D1077" i="1"/>
  <c r="H1076" i="1"/>
  <c r="Y1076" i="1" s="1"/>
  <c r="D1076" i="1"/>
  <c r="AB1075" i="1"/>
  <c r="AA1075" i="1"/>
  <c r="X1075" i="1"/>
  <c r="W1075" i="1"/>
  <c r="V1075" i="1"/>
  <c r="U1075" i="1"/>
  <c r="T1075" i="1"/>
  <c r="S1075" i="1"/>
  <c r="Q1075" i="1"/>
  <c r="P1075" i="1"/>
  <c r="O1075" i="1"/>
  <c r="N1075" i="1"/>
  <c r="M1075" i="1"/>
  <c r="L1075" i="1"/>
  <c r="K1075" i="1"/>
  <c r="J1075" i="1"/>
  <c r="I1075" i="1"/>
  <c r="H1075" i="1"/>
  <c r="Y1075" i="1" s="1"/>
  <c r="G1075" i="1"/>
  <c r="F1075" i="1"/>
  <c r="E1075" i="1"/>
  <c r="D1075" i="1"/>
  <c r="AB1074" i="1"/>
  <c r="AA1074" i="1"/>
  <c r="X1074" i="1"/>
  <c r="W1074" i="1"/>
  <c r="V1074" i="1"/>
  <c r="U1074" i="1"/>
  <c r="T1074" i="1"/>
  <c r="S1074" i="1"/>
  <c r="Q1074" i="1"/>
  <c r="P1074" i="1"/>
  <c r="O1074" i="1"/>
  <c r="N1074" i="1"/>
  <c r="M1074" i="1"/>
  <c r="L1074" i="1"/>
  <c r="K1074" i="1"/>
  <c r="J1074" i="1"/>
  <c r="I1074" i="1"/>
  <c r="H1074" i="1"/>
  <c r="Y1074" i="1" s="1"/>
  <c r="G1074" i="1"/>
  <c r="F1074" i="1"/>
  <c r="E1074" i="1"/>
  <c r="D1074" i="1"/>
  <c r="AB1073" i="1"/>
  <c r="AA1073" i="1"/>
  <c r="Y1073" i="1"/>
  <c r="Z1073" i="1" s="1"/>
  <c r="X1073" i="1"/>
  <c r="W1073" i="1"/>
  <c r="V1073" i="1"/>
  <c r="U1073" i="1"/>
  <c r="T1073" i="1"/>
  <c r="S1073" i="1"/>
  <c r="Q1073" i="1"/>
  <c r="P1073" i="1"/>
  <c r="O1073" i="1"/>
  <c r="N1073" i="1"/>
  <c r="M1073" i="1"/>
  <c r="L1073" i="1"/>
  <c r="K1073" i="1"/>
  <c r="J1073" i="1"/>
  <c r="I1073" i="1"/>
  <c r="G1073" i="1"/>
  <c r="F1073" i="1"/>
  <c r="F1081" i="1" s="1"/>
  <c r="E1073" i="1"/>
  <c r="AB1067" i="1"/>
  <c r="AA1067" i="1"/>
  <c r="X1067" i="1"/>
  <c r="W1067" i="1"/>
  <c r="V1067" i="1"/>
  <c r="U1067" i="1"/>
  <c r="T1067" i="1"/>
  <c r="S1067" i="1"/>
  <c r="R1067" i="1"/>
  <c r="Q1067" i="1"/>
  <c r="P1067" i="1"/>
  <c r="O1067" i="1"/>
  <c r="N1067" i="1"/>
  <c r="M1067" i="1"/>
  <c r="L1067" i="1"/>
  <c r="K1067" i="1"/>
  <c r="J1067" i="1"/>
  <c r="I1067" i="1"/>
  <c r="G1067" i="1"/>
  <c r="F1067" i="1"/>
  <c r="E1067" i="1"/>
  <c r="D1067" i="1"/>
  <c r="AF1094" i="1" s="1"/>
  <c r="AB1066" i="1"/>
  <c r="AA1066" i="1"/>
  <c r="Y1066" i="1"/>
  <c r="Z1066" i="1" s="1"/>
  <c r="X1066" i="1"/>
  <c r="W1066" i="1"/>
  <c r="V1066" i="1"/>
  <c r="AO1098" i="1" s="1"/>
  <c r="U1066" i="1"/>
  <c r="T1066" i="1"/>
  <c r="S1066" i="1"/>
  <c r="Q1066" i="1"/>
  <c r="P1066" i="1"/>
  <c r="AM1098" i="1" s="1"/>
  <c r="O1066" i="1"/>
  <c r="AL1098" i="1" s="1"/>
  <c r="N1066" i="1"/>
  <c r="M1066" i="1"/>
  <c r="L1066" i="1"/>
  <c r="AJ1098" i="1" s="1"/>
  <c r="K1066" i="1"/>
  <c r="J1066" i="1"/>
  <c r="I1066" i="1"/>
  <c r="G1066" i="1"/>
  <c r="F1066" i="1"/>
  <c r="AH1098" i="1" s="1"/>
  <c r="E1066" i="1"/>
  <c r="AG1098" i="1" s="1"/>
  <c r="AB1065" i="1"/>
  <c r="AA1065" i="1"/>
  <c r="X1065" i="1"/>
  <c r="W1065" i="1"/>
  <c r="V1065" i="1"/>
  <c r="U1065" i="1"/>
  <c r="T1065" i="1"/>
  <c r="S1065" i="1"/>
  <c r="Q1065" i="1"/>
  <c r="P1065" i="1"/>
  <c r="O1065" i="1"/>
  <c r="N1065" i="1"/>
  <c r="M1065" i="1"/>
  <c r="L1065" i="1"/>
  <c r="K1065" i="1"/>
  <c r="J1065" i="1"/>
  <c r="I1065" i="1"/>
  <c r="H1065" i="1"/>
  <c r="Y1065" i="1" s="1"/>
  <c r="G1065" i="1"/>
  <c r="F1065" i="1"/>
  <c r="E1065" i="1"/>
  <c r="D1065" i="1"/>
  <c r="H1064" i="1"/>
  <c r="H1069" i="1" s="1"/>
  <c r="D1064" i="1"/>
  <c r="AB1063" i="1"/>
  <c r="AA1063" i="1"/>
  <c r="X1063" i="1"/>
  <c r="W1063" i="1"/>
  <c r="V1063" i="1"/>
  <c r="U1063" i="1"/>
  <c r="T1063" i="1"/>
  <c r="S1063" i="1"/>
  <c r="Q1063" i="1"/>
  <c r="P1063" i="1"/>
  <c r="O1063" i="1"/>
  <c r="N1063" i="1"/>
  <c r="M1063" i="1"/>
  <c r="L1063" i="1"/>
  <c r="K1063" i="1"/>
  <c r="J1063" i="1"/>
  <c r="I1063" i="1"/>
  <c r="H1063" i="1"/>
  <c r="Y1063" i="1" s="1"/>
  <c r="G1063" i="1"/>
  <c r="F1063" i="1"/>
  <c r="E1063" i="1"/>
  <c r="D1063" i="1"/>
  <c r="AB1059" i="1"/>
  <c r="AA1059" i="1"/>
  <c r="X1059" i="1"/>
  <c r="W1059" i="1"/>
  <c r="V1059" i="1"/>
  <c r="U1059" i="1"/>
  <c r="T1059" i="1"/>
  <c r="S1059" i="1"/>
  <c r="R1059" i="1"/>
  <c r="Y1059" i="1" s="1"/>
  <c r="Q1059" i="1"/>
  <c r="P1059" i="1"/>
  <c r="O1059" i="1"/>
  <c r="N1059" i="1"/>
  <c r="M1059" i="1"/>
  <c r="L1059" i="1"/>
  <c r="K1059" i="1"/>
  <c r="J1059" i="1"/>
  <c r="I1059" i="1"/>
  <c r="G1059" i="1"/>
  <c r="F1059" i="1"/>
  <c r="E1059" i="1"/>
  <c r="D1059" i="1"/>
  <c r="AB1058" i="1"/>
  <c r="AA1058" i="1"/>
  <c r="Y1058" i="1"/>
  <c r="Z1058" i="1" s="1"/>
  <c r="X1058" i="1"/>
  <c r="W1058" i="1"/>
  <c r="V1058" i="1"/>
  <c r="U1058" i="1"/>
  <c r="T1058" i="1"/>
  <c r="S1058" i="1"/>
  <c r="Q1058" i="1"/>
  <c r="P1058" i="1"/>
  <c r="O1058" i="1"/>
  <c r="N1058" i="1"/>
  <c r="M1058" i="1"/>
  <c r="L1058" i="1"/>
  <c r="K1058" i="1"/>
  <c r="J1058" i="1"/>
  <c r="I1058" i="1"/>
  <c r="G1058" i="1"/>
  <c r="F1058" i="1"/>
  <c r="E1058" i="1"/>
  <c r="AB1057" i="1"/>
  <c r="AA1057" i="1"/>
  <c r="X1057" i="1"/>
  <c r="W1057" i="1"/>
  <c r="V1057" i="1"/>
  <c r="U1057" i="1"/>
  <c r="T1057" i="1"/>
  <c r="S1057" i="1"/>
  <c r="R1057" i="1"/>
  <c r="Q1057" i="1"/>
  <c r="P1057" i="1"/>
  <c r="O1057" i="1"/>
  <c r="N1057" i="1"/>
  <c r="M1057" i="1"/>
  <c r="L1057" i="1"/>
  <c r="K1057" i="1"/>
  <c r="J1057" i="1"/>
  <c r="I1057" i="1"/>
  <c r="G1057" i="1"/>
  <c r="F1057" i="1"/>
  <c r="E1057" i="1"/>
  <c r="D1057" i="1"/>
  <c r="H1056" i="1"/>
  <c r="D1056" i="1"/>
  <c r="AB1055" i="1"/>
  <c r="AA1055" i="1"/>
  <c r="X1055" i="1"/>
  <c r="W1055" i="1"/>
  <c r="V1055" i="1"/>
  <c r="U1055" i="1"/>
  <c r="T1055" i="1"/>
  <c r="S1055" i="1"/>
  <c r="Q1055" i="1"/>
  <c r="P1055" i="1"/>
  <c r="O1055" i="1"/>
  <c r="N1055" i="1"/>
  <c r="M1055" i="1"/>
  <c r="L1055" i="1"/>
  <c r="K1055" i="1"/>
  <c r="J1055" i="1"/>
  <c r="I1055" i="1"/>
  <c r="H1055" i="1"/>
  <c r="Y1055" i="1" s="1"/>
  <c r="G1055" i="1"/>
  <c r="F1055" i="1"/>
  <c r="E1055" i="1"/>
  <c r="D1055" i="1"/>
  <c r="AB1054" i="1"/>
  <c r="AA1054" i="1"/>
  <c r="Y1054" i="1"/>
  <c r="Z1054" i="1" s="1"/>
  <c r="X1054" i="1"/>
  <c r="W1054" i="1"/>
  <c r="V1054" i="1"/>
  <c r="U1054" i="1"/>
  <c r="T1054" i="1"/>
  <c r="S1054" i="1"/>
  <c r="Q1054" i="1"/>
  <c r="P1054" i="1"/>
  <c r="O1054" i="1"/>
  <c r="N1054" i="1"/>
  <c r="M1054" i="1"/>
  <c r="L1054" i="1"/>
  <c r="K1054" i="1"/>
  <c r="J1054" i="1"/>
  <c r="I1054" i="1"/>
  <c r="G1054" i="1"/>
  <c r="F1054" i="1"/>
  <c r="E1054" i="1"/>
  <c r="AB1050" i="1"/>
  <c r="AA1050" i="1"/>
  <c r="Y1050" i="1"/>
  <c r="X1050" i="1"/>
  <c r="W1050" i="1"/>
  <c r="V1050" i="1"/>
  <c r="U1050" i="1"/>
  <c r="T1050" i="1"/>
  <c r="S1050" i="1"/>
  <c r="Q1050" i="1"/>
  <c r="P1050" i="1"/>
  <c r="O1050" i="1"/>
  <c r="N1050" i="1"/>
  <c r="M1050" i="1"/>
  <c r="L1050" i="1"/>
  <c r="K1050" i="1"/>
  <c r="J1050" i="1"/>
  <c r="I1050" i="1"/>
  <c r="G1050" i="1"/>
  <c r="F1050" i="1"/>
  <c r="E1050" i="1"/>
  <c r="D1050" i="1"/>
  <c r="AB1049" i="1"/>
  <c r="AA1049" i="1"/>
  <c r="X1049" i="1"/>
  <c r="W1049" i="1"/>
  <c r="V1049" i="1"/>
  <c r="U1049" i="1"/>
  <c r="T1049" i="1"/>
  <c r="S1049" i="1"/>
  <c r="R1049" i="1"/>
  <c r="R1052" i="1" s="1"/>
  <c r="Q1049" i="1"/>
  <c r="P1049" i="1"/>
  <c r="O1049" i="1"/>
  <c r="N1049" i="1"/>
  <c r="M1049" i="1"/>
  <c r="L1049" i="1"/>
  <c r="K1049" i="1"/>
  <c r="J1049" i="1"/>
  <c r="I1049" i="1"/>
  <c r="G1049" i="1"/>
  <c r="F1049" i="1"/>
  <c r="E1049" i="1"/>
  <c r="D1049" i="1"/>
  <c r="AB1048" i="1"/>
  <c r="AA1048" i="1"/>
  <c r="X1048" i="1"/>
  <c r="W1048" i="1"/>
  <c r="V1048" i="1"/>
  <c r="U1048" i="1"/>
  <c r="T1048" i="1"/>
  <c r="S1048" i="1"/>
  <c r="Q1048" i="1"/>
  <c r="P1048" i="1"/>
  <c r="O1048" i="1"/>
  <c r="N1048" i="1"/>
  <c r="M1048" i="1"/>
  <c r="L1048" i="1"/>
  <c r="K1048" i="1"/>
  <c r="J1048" i="1"/>
  <c r="I1048" i="1"/>
  <c r="H1048" i="1"/>
  <c r="Y1048" i="1" s="1"/>
  <c r="G1048" i="1"/>
  <c r="F1048" i="1"/>
  <c r="E1048" i="1"/>
  <c r="D1048" i="1"/>
  <c r="AB1047" i="1"/>
  <c r="AA1047" i="1"/>
  <c r="X1047" i="1"/>
  <c r="W1047" i="1"/>
  <c r="V1047" i="1"/>
  <c r="U1047" i="1"/>
  <c r="T1047" i="1"/>
  <c r="S1047" i="1"/>
  <c r="Q1047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AB1042" i="1"/>
  <c r="AA1042" i="1"/>
  <c r="Y1042" i="1"/>
  <c r="X1042" i="1"/>
  <c r="W1042" i="1"/>
  <c r="V1042" i="1"/>
  <c r="U1042" i="1"/>
  <c r="T1042" i="1"/>
  <c r="S1042" i="1"/>
  <c r="Q1042" i="1"/>
  <c r="P1042" i="1"/>
  <c r="O1042" i="1"/>
  <c r="N1042" i="1"/>
  <c r="M1042" i="1"/>
  <c r="L1042" i="1"/>
  <c r="K1042" i="1"/>
  <c r="J1042" i="1"/>
  <c r="I1042" i="1"/>
  <c r="G1042" i="1"/>
  <c r="F1042" i="1"/>
  <c r="E1042" i="1"/>
  <c r="D1042" i="1"/>
  <c r="AF1097" i="1" s="1"/>
  <c r="C1042" i="1"/>
  <c r="AB1041" i="1"/>
  <c r="AA1041" i="1"/>
  <c r="X1041" i="1"/>
  <c r="W1041" i="1"/>
  <c r="V1041" i="1"/>
  <c r="U1041" i="1"/>
  <c r="T1041" i="1"/>
  <c r="S1041" i="1"/>
  <c r="R1041" i="1"/>
  <c r="Y1041" i="1" s="1"/>
  <c r="Q1041" i="1"/>
  <c r="P1041" i="1"/>
  <c r="O1041" i="1"/>
  <c r="N1041" i="1"/>
  <c r="M1041" i="1"/>
  <c r="L1041" i="1"/>
  <c r="K1041" i="1"/>
  <c r="J1041" i="1"/>
  <c r="I1041" i="1"/>
  <c r="G1041" i="1"/>
  <c r="F1041" i="1"/>
  <c r="E1041" i="1"/>
  <c r="D1041" i="1"/>
  <c r="AB1040" i="1"/>
  <c r="AA1040" i="1"/>
  <c r="X1040" i="1"/>
  <c r="W1040" i="1"/>
  <c r="V1040" i="1"/>
  <c r="U1040" i="1"/>
  <c r="T1040" i="1"/>
  <c r="S1040" i="1"/>
  <c r="R1040" i="1"/>
  <c r="Y1040" i="1" s="1"/>
  <c r="Q1040" i="1"/>
  <c r="P1040" i="1"/>
  <c r="O1040" i="1"/>
  <c r="N1040" i="1"/>
  <c r="M1040" i="1"/>
  <c r="L1040" i="1"/>
  <c r="K1040" i="1"/>
  <c r="J1040" i="1"/>
  <c r="I1040" i="1"/>
  <c r="G1040" i="1"/>
  <c r="F1040" i="1"/>
  <c r="E1040" i="1"/>
  <c r="D1040" i="1"/>
  <c r="H1039" i="1"/>
  <c r="Y1039" i="1" s="1"/>
  <c r="D1039" i="1"/>
  <c r="AB1038" i="1"/>
  <c r="AA1038" i="1"/>
  <c r="X1038" i="1"/>
  <c r="W1038" i="1"/>
  <c r="V1038" i="1"/>
  <c r="U1038" i="1"/>
  <c r="T1038" i="1"/>
  <c r="S1038" i="1"/>
  <c r="Q1038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AB1037" i="1"/>
  <c r="AA1037" i="1"/>
  <c r="Y1037" i="1"/>
  <c r="Z1037" i="1" s="1"/>
  <c r="X1037" i="1"/>
  <c r="W1037" i="1"/>
  <c r="V1037" i="1"/>
  <c r="U1037" i="1"/>
  <c r="T1037" i="1"/>
  <c r="S1037" i="1"/>
  <c r="Q1037" i="1"/>
  <c r="P1037" i="1"/>
  <c r="O1037" i="1"/>
  <c r="N1037" i="1"/>
  <c r="M1037" i="1"/>
  <c r="L1037" i="1"/>
  <c r="K1037" i="1"/>
  <c r="J1037" i="1"/>
  <c r="I1037" i="1"/>
  <c r="G1037" i="1"/>
  <c r="F1037" i="1"/>
  <c r="E1037" i="1"/>
  <c r="AB1036" i="1"/>
  <c r="AA1036" i="1"/>
  <c r="X1036" i="1"/>
  <c r="W1036" i="1"/>
  <c r="V1036" i="1"/>
  <c r="U1036" i="1"/>
  <c r="T1036" i="1"/>
  <c r="S1036" i="1"/>
  <c r="R1036" i="1"/>
  <c r="Q1036" i="1"/>
  <c r="P1036" i="1"/>
  <c r="O1036" i="1"/>
  <c r="N1036" i="1"/>
  <c r="M1036" i="1"/>
  <c r="L1036" i="1"/>
  <c r="K1036" i="1"/>
  <c r="J1036" i="1"/>
  <c r="I1036" i="1"/>
  <c r="G1036" i="1"/>
  <c r="F1036" i="1"/>
  <c r="E1036" i="1"/>
  <c r="AB1032" i="1"/>
  <c r="AA1032" i="1"/>
  <c r="Y1032" i="1"/>
  <c r="Z1032" i="1" s="1"/>
  <c r="X1032" i="1"/>
  <c r="W1032" i="1"/>
  <c r="V1032" i="1"/>
  <c r="U1032" i="1"/>
  <c r="T1032" i="1"/>
  <c r="S1032" i="1"/>
  <c r="Q1032" i="1"/>
  <c r="P1032" i="1"/>
  <c r="O1032" i="1"/>
  <c r="N1032" i="1"/>
  <c r="M1032" i="1"/>
  <c r="L1032" i="1"/>
  <c r="K1032" i="1"/>
  <c r="J1032" i="1"/>
  <c r="I1032" i="1"/>
  <c r="G1032" i="1"/>
  <c r="F1032" i="1"/>
  <c r="E1032" i="1"/>
  <c r="AB1031" i="1"/>
  <c r="AA1031" i="1"/>
  <c r="Y1031" i="1"/>
  <c r="Z1031" i="1" s="1"/>
  <c r="X1031" i="1"/>
  <c r="W1031" i="1"/>
  <c r="V1031" i="1"/>
  <c r="U1031" i="1"/>
  <c r="T1031" i="1"/>
  <c r="S1031" i="1"/>
  <c r="Q1031" i="1"/>
  <c r="P1031" i="1"/>
  <c r="O1031" i="1"/>
  <c r="N1031" i="1"/>
  <c r="M1031" i="1"/>
  <c r="L1031" i="1"/>
  <c r="K1031" i="1"/>
  <c r="J1031" i="1"/>
  <c r="I1031" i="1"/>
  <c r="G1031" i="1"/>
  <c r="F1031" i="1"/>
  <c r="E1031" i="1"/>
  <c r="AB1030" i="1"/>
  <c r="AA1030" i="1"/>
  <c r="X1030" i="1"/>
  <c r="W1030" i="1"/>
  <c r="V1030" i="1"/>
  <c r="U1030" i="1"/>
  <c r="T1030" i="1"/>
  <c r="S1030" i="1"/>
  <c r="R1030" i="1"/>
  <c r="Y1030" i="1" s="1"/>
  <c r="Q1030" i="1"/>
  <c r="P1030" i="1"/>
  <c r="O1030" i="1"/>
  <c r="N1030" i="1"/>
  <c r="M1030" i="1"/>
  <c r="L1030" i="1"/>
  <c r="K1030" i="1"/>
  <c r="J1030" i="1"/>
  <c r="I1030" i="1"/>
  <c r="G1030" i="1"/>
  <c r="F1030" i="1"/>
  <c r="E1030" i="1"/>
  <c r="D1030" i="1"/>
  <c r="H1029" i="1"/>
  <c r="Y1029" i="1" s="1"/>
  <c r="D1029" i="1"/>
  <c r="AB1028" i="1"/>
  <c r="AA1028" i="1"/>
  <c r="X1028" i="1"/>
  <c r="W1028" i="1"/>
  <c r="V1028" i="1"/>
  <c r="U1028" i="1"/>
  <c r="T1028" i="1"/>
  <c r="S1028" i="1"/>
  <c r="Q1028" i="1"/>
  <c r="P1028" i="1"/>
  <c r="O1028" i="1"/>
  <c r="N1028" i="1"/>
  <c r="M1028" i="1"/>
  <c r="L1028" i="1"/>
  <c r="K1028" i="1"/>
  <c r="J1028" i="1"/>
  <c r="I1028" i="1"/>
  <c r="H1028" i="1"/>
  <c r="Y1028" i="1" s="1"/>
  <c r="G1028" i="1"/>
  <c r="F1028" i="1"/>
  <c r="E1028" i="1"/>
  <c r="D1028" i="1"/>
  <c r="AB1027" i="1"/>
  <c r="AA1027" i="1"/>
  <c r="X1027" i="1"/>
  <c r="W1027" i="1"/>
  <c r="V1027" i="1"/>
  <c r="U1027" i="1"/>
  <c r="T1027" i="1"/>
  <c r="S1027" i="1"/>
  <c r="Q1027" i="1"/>
  <c r="P1027" i="1"/>
  <c r="O1027" i="1"/>
  <c r="N1027" i="1"/>
  <c r="M1027" i="1"/>
  <c r="L1027" i="1"/>
  <c r="K1027" i="1"/>
  <c r="J1027" i="1"/>
  <c r="I1027" i="1"/>
  <c r="H1027" i="1"/>
  <c r="Y1027" i="1" s="1"/>
  <c r="G1027" i="1"/>
  <c r="F1027" i="1"/>
  <c r="E1027" i="1"/>
  <c r="D1027" i="1"/>
  <c r="R1023" i="1"/>
  <c r="AB1021" i="1"/>
  <c r="AA1021" i="1"/>
  <c r="Y1021" i="1"/>
  <c r="Z1021" i="1" s="1"/>
  <c r="X1021" i="1"/>
  <c r="W1021" i="1"/>
  <c r="V1021" i="1"/>
  <c r="U1021" i="1"/>
  <c r="T1021" i="1"/>
  <c r="S1021" i="1"/>
  <c r="Q1021" i="1"/>
  <c r="P1021" i="1"/>
  <c r="O1021" i="1"/>
  <c r="N1021" i="1"/>
  <c r="M1021" i="1"/>
  <c r="L1021" i="1"/>
  <c r="K1021" i="1"/>
  <c r="J1021" i="1"/>
  <c r="I1021" i="1"/>
  <c r="G1021" i="1"/>
  <c r="F1021" i="1"/>
  <c r="E1021" i="1"/>
  <c r="AB1020" i="1"/>
  <c r="AA1020" i="1"/>
  <c r="Y1020" i="1"/>
  <c r="Z1020" i="1" s="1"/>
  <c r="X1020" i="1"/>
  <c r="W1020" i="1"/>
  <c r="V1020" i="1"/>
  <c r="U1020" i="1"/>
  <c r="T1020" i="1"/>
  <c r="S1020" i="1"/>
  <c r="Q1020" i="1"/>
  <c r="P1020" i="1"/>
  <c r="O1020" i="1"/>
  <c r="N1020" i="1"/>
  <c r="M1020" i="1"/>
  <c r="L1020" i="1"/>
  <c r="K1020" i="1"/>
  <c r="J1020" i="1"/>
  <c r="I1020" i="1"/>
  <c r="G1020" i="1"/>
  <c r="F1020" i="1"/>
  <c r="E1020" i="1"/>
  <c r="AB1019" i="1"/>
  <c r="AA1019" i="1"/>
  <c r="X1019" i="1"/>
  <c r="W1019" i="1"/>
  <c r="V1019" i="1"/>
  <c r="U1019" i="1"/>
  <c r="T1019" i="1"/>
  <c r="S1019" i="1"/>
  <c r="Q1019" i="1"/>
  <c r="P1019" i="1"/>
  <c r="O1019" i="1"/>
  <c r="N1019" i="1"/>
  <c r="M1019" i="1"/>
  <c r="L1019" i="1"/>
  <c r="K1019" i="1"/>
  <c r="J1019" i="1"/>
  <c r="I1019" i="1"/>
  <c r="H1019" i="1"/>
  <c r="Y1019" i="1" s="1"/>
  <c r="G1019" i="1"/>
  <c r="F1019" i="1"/>
  <c r="E1019" i="1"/>
  <c r="D1019" i="1"/>
  <c r="H1018" i="1"/>
  <c r="Y1018" i="1" s="1"/>
  <c r="D1018" i="1"/>
  <c r="H1017" i="1"/>
  <c r="Y1017" i="1" s="1"/>
  <c r="D1017" i="1"/>
  <c r="Y1016" i="1"/>
  <c r="H1016" i="1"/>
  <c r="D1016" i="1"/>
  <c r="AB1015" i="1"/>
  <c r="AA1015" i="1"/>
  <c r="X1015" i="1"/>
  <c r="W1015" i="1"/>
  <c r="V1015" i="1"/>
  <c r="U1015" i="1"/>
  <c r="T1015" i="1"/>
  <c r="S1015" i="1"/>
  <c r="Q1015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AB1009" i="1"/>
  <c r="AA1009" i="1"/>
  <c r="X1009" i="1"/>
  <c r="W1009" i="1"/>
  <c r="V1009" i="1"/>
  <c r="U1009" i="1"/>
  <c r="T1009" i="1"/>
  <c r="S1009" i="1"/>
  <c r="R1009" i="1"/>
  <c r="Y1009" i="1" s="1"/>
  <c r="Q1009" i="1"/>
  <c r="P1009" i="1"/>
  <c r="O1009" i="1"/>
  <c r="N1009" i="1"/>
  <c r="M1009" i="1"/>
  <c r="L1009" i="1"/>
  <c r="K1009" i="1"/>
  <c r="J1009" i="1"/>
  <c r="I1009" i="1"/>
  <c r="G1009" i="1"/>
  <c r="F1009" i="1"/>
  <c r="E1009" i="1"/>
  <c r="D1009" i="1"/>
  <c r="AB1008" i="1"/>
  <c r="AA1008" i="1"/>
  <c r="X1008" i="1"/>
  <c r="W1008" i="1"/>
  <c r="V1008" i="1"/>
  <c r="U1008" i="1"/>
  <c r="T1008" i="1"/>
  <c r="S1008" i="1"/>
  <c r="R1008" i="1"/>
  <c r="Y1008" i="1" s="1"/>
  <c r="Q1008" i="1"/>
  <c r="P1008" i="1"/>
  <c r="O1008" i="1"/>
  <c r="N1008" i="1"/>
  <c r="M1008" i="1"/>
  <c r="L1008" i="1"/>
  <c r="K1008" i="1"/>
  <c r="J1008" i="1"/>
  <c r="I1008" i="1"/>
  <c r="G1008" i="1"/>
  <c r="F1008" i="1"/>
  <c r="E1008" i="1"/>
  <c r="D1008" i="1"/>
  <c r="AB1007" i="1"/>
  <c r="AA1007" i="1"/>
  <c r="X1007" i="1"/>
  <c r="W1007" i="1"/>
  <c r="V1007" i="1"/>
  <c r="U1007" i="1"/>
  <c r="T1007" i="1"/>
  <c r="S1007" i="1"/>
  <c r="Q1007" i="1"/>
  <c r="P1007" i="1"/>
  <c r="O1007" i="1"/>
  <c r="N1007" i="1"/>
  <c r="M1007" i="1"/>
  <c r="L1007" i="1"/>
  <c r="K1007" i="1"/>
  <c r="J1007" i="1"/>
  <c r="I1007" i="1"/>
  <c r="H1007" i="1"/>
  <c r="H1011" i="1" s="1"/>
  <c r="G1007" i="1"/>
  <c r="F1007" i="1"/>
  <c r="E1007" i="1"/>
  <c r="D1007" i="1"/>
  <c r="AB1006" i="1"/>
  <c r="AA1006" i="1"/>
  <c r="X1006" i="1"/>
  <c r="W1006" i="1"/>
  <c r="V1006" i="1"/>
  <c r="U1006" i="1"/>
  <c r="T1006" i="1"/>
  <c r="S1006" i="1"/>
  <c r="R1006" i="1"/>
  <c r="Q1006" i="1"/>
  <c r="P1006" i="1"/>
  <c r="O1006" i="1"/>
  <c r="N1006" i="1"/>
  <c r="M1006" i="1"/>
  <c r="L1006" i="1"/>
  <c r="K1006" i="1"/>
  <c r="J1006" i="1"/>
  <c r="I1006" i="1"/>
  <c r="G1006" i="1"/>
  <c r="F1006" i="1"/>
  <c r="E1006" i="1"/>
  <c r="D1006" i="1"/>
  <c r="AB1001" i="1"/>
  <c r="AA1001" i="1"/>
  <c r="X1001" i="1"/>
  <c r="W1001" i="1"/>
  <c r="V1001" i="1"/>
  <c r="U1001" i="1"/>
  <c r="T1001" i="1"/>
  <c r="S1001" i="1"/>
  <c r="R1001" i="1"/>
  <c r="Y1001" i="1" s="1"/>
  <c r="Q1001" i="1"/>
  <c r="P1001" i="1"/>
  <c r="O1001" i="1"/>
  <c r="N1001" i="1"/>
  <c r="M1001" i="1"/>
  <c r="L1001" i="1"/>
  <c r="K1001" i="1"/>
  <c r="J1001" i="1"/>
  <c r="I1001" i="1"/>
  <c r="G1001" i="1"/>
  <c r="F1001" i="1"/>
  <c r="E1001" i="1"/>
  <c r="D1001" i="1"/>
  <c r="AB1000" i="1"/>
  <c r="AA1000" i="1"/>
  <c r="X1000" i="1"/>
  <c r="W1000" i="1"/>
  <c r="V1000" i="1"/>
  <c r="U1000" i="1"/>
  <c r="T1000" i="1"/>
  <c r="S1000" i="1"/>
  <c r="R1000" i="1"/>
  <c r="Q1000" i="1"/>
  <c r="P1000" i="1"/>
  <c r="O1000" i="1"/>
  <c r="N1000" i="1"/>
  <c r="M1000" i="1"/>
  <c r="L1000" i="1"/>
  <c r="K1000" i="1"/>
  <c r="J1000" i="1"/>
  <c r="I1000" i="1"/>
  <c r="G1000" i="1"/>
  <c r="F1000" i="1"/>
  <c r="E1000" i="1"/>
  <c r="D1000" i="1"/>
  <c r="H999" i="1"/>
  <c r="Y999" i="1" s="1"/>
  <c r="D999" i="1"/>
  <c r="H998" i="1"/>
  <c r="Y998" i="1" s="1"/>
  <c r="D998" i="1"/>
  <c r="Y997" i="1"/>
  <c r="H997" i="1"/>
  <c r="D997" i="1"/>
  <c r="H996" i="1"/>
  <c r="Y996" i="1" s="1"/>
  <c r="D996" i="1"/>
  <c r="AB995" i="1"/>
  <c r="AA995" i="1"/>
  <c r="X995" i="1"/>
  <c r="W995" i="1"/>
  <c r="V995" i="1"/>
  <c r="U995" i="1"/>
  <c r="T995" i="1"/>
  <c r="S995" i="1"/>
  <c r="Q995" i="1"/>
  <c r="P995" i="1"/>
  <c r="O995" i="1"/>
  <c r="N995" i="1"/>
  <c r="M995" i="1"/>
  <c r="L995" i="1"/>
  <c r="K995" i="1"/>
  <c r="J995" i="1"/>
  <c r="I995" i="1"/>
  <c r="H995" i="1"/>
  <c r="Y995" i="1" s="1"/>
  <c r="G995" i="1"/>
  <c r="F995" i="1"/>
  <c r="E995" i="1"/>
  <c r="D995" i="1"/>
  <c r="H994" i="1"/>
  <c r="Y994" i="1" s="1"/>
  <c r="D994" i="1"/>
  <c r="AB993" i="1"/>
  <c r="AA993" i="1"/>
  <c r="X993" i="1"/>
  <c r="W993" i="1"/>
  <c r="V993" i="1"/>
  <c r="U993" i="1"/>
  <c r="T993" i="1"/>
  <c r="S993" i="1"/>
  <c r="Q993" i="1"/>
  <c r="P993" i="1"/>
  <c r="O993" i="1"/>
  <c r="N993" i="1"/>
  <c r="M993" i="1"/>
  <c r="L993" i="1"/>
  <c r="K993" i="1"/>
  <c r="J993" i="1"/>
  <c r="I993" i="1"/>
  <c r="H993" i="1"/>
  <c r="Y993" i="1" s="1"/>
  <c r="G993" i="1"/>
  <c r="F993" i="1"/>
  <c r="E993" i="1"/>
  <c r="D993" i="1"/>
  <c r="AB992" i="1"/>
  <c r="AA992" i="1"/>
  <c r="X992" i="1"/>
  <c r="W992" i="1"/>
  <c r="V992" i="1"/>
  <c r="U992" i="1"/>
  <c r="T992" i="1"/>
  <c r="S992" i="1"/>
  <c r="Q992" i="1"/>
  <c r="P992" i="1"/>
  <c r="O992" i="1"/>
  <c r="N992" i="1"/>
  <c r="M992" i="1"/>
  <c r="L992" i="1"/>
  <c r="K992" i="1"/>
  <c r="J992" i="1"/>
  <c r="I992" i="1"/>
  <c r="H992" i="1"/>
  <c r="Y992" i="1" s="1"/>
  <c r="G992" i="1"/>
  <c r="F992" i="1"/>
  <c r="E992" i="1"/>
  <c r="D992" i="1"/>
  <c r="W987" i="1"/>
  <c r="Q987" i="1"/>
  <c r="M987" i="1"/>
  <c r="H984" i="1"/>
  <c r="Y984" i="1" s="1"/>
  <c r="D984" i="1"/>
  <c r="R981" i="1"/>
  <c r="AB979" i="1"/>
  <c r="AA979" i="1"/>
  <c r="X979" i="1"/>
  <c r="W979" i="1"/>
  <c r="V979" i="1"/>
  <c r="U979" i="1"/>
  <c r="T979" i="1"/>
  <c r="S979" i="1"/>
  <c r="Q979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AB978" i="1"/>
  <c r="AA978" i="1"/>
  <c r="X978" i="1"/>
  <c r="W978" i="1"/>
  <c r="V978" i="1"/>
  <c r="U978" i="1"/>
  <c r="T978" i="1"/>
  <c r="S978" i="1"/>
  <c r="Q978" i="1"/>
  <c r="P978" i="1"/>
  <c r="O978" i="1"/>
  <c r="N978" i="1"/>
  <c r="M978" i="1"/>
  <c r="L978" i="1"/>
  <c r="K978" i="1"/>
  <c r="J978" i="1"/>
  <c r="I978" i="1"/>
  <c r="H978" i="1"/>
  <c r="Y978" i="1" s="1"/>
  <c r="G978" i="1"/>
  <c r="F978" i="1"/>
  <c r="E978" i="1"/>
  <c r="D978" i="1"/>
  <c r="AF977" i="1"/>
  <c r="AB973" i="1"/>
  <c r="AA973" i="1"/>
  <c r="X973" i="1"/>
  <c r="W973" i="1"/>
  <c r="V973" i="1"/>
  <c r="U973" i="1"/>
  <c r="T973" i="1"/>
  <c r="S973" i="1"/>
  <c r="R973" i="1"/>
  <c r="R975" i="1" s="1"/>
  <c r="Q973" i="1"/>
  <c r="P973" i="1"/>
  <c r="O973" i="1"/>
  <c r="N973" i="1"/>
  <c r="M973" i="1"/>
  <c r="L973" i="1"/>
  <c r="K973" i="1"/>
  <c r="J973" i="1"/>
  <c r="I973" i="1"/>
  <c r="G973" i="1"/>
  <c r="F973" i="1"/>
  <c r="E973" i="1"/>
  <c r="D973" i="1"/>
  <c r="H972" i="1"/>
  <c r="Y972" i="1" s="1"/>
  <c r="D972" i="1"/>
  <c r="AB971" i="1"/>
  <c r="AA971" i="1"/>
  <c r="X971" i="1"/>
  <c r="W971" i="1"/>
  <c r="V971" i="1"/>
  <c r="U971" i="1"/>
  <c r="T971" i="1"/>
  <c r="S971" i="1"/>
  <c r="Q971" i="1"/>
  <c r="P971" i="1"/>
  <c r="O971" i="1"/>
  <c r="N971" i="1"/>
  <c r="M971" i="1"/>
  <c r="L971" i="1"/>
  <c r="K971" i="1"/>
  <c r="J971" i="1"/>
  <c r="I971" i="1"/>
  <c r="H971" i="1"/>
  <c r="Y971" i="1" s="1"/>
  <c r="G971" i="1"/>
  <c r="F971" i="1"/>
  <c r="E971" i="1"/>
  <c r="D971" i="1"/>
  <c r="AB970" i="1"/>
  <c r="AA970" i="1"/>
  <c r="X970" i="1"/>
  <c r="W970" i="1"/>
  <c r="V970" i="1"/>
  <c r="U970" i="1"/>
  <c r="T970" i="1"/>
  <c r="S970" i="1"/>
  <c r="Q970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AB965" i="1"/>
  <c r="AA965" i="1"/>
  <c r="Z965" i="1"/>
  <c r="Y965" i="1"/>
  <c r="X965" i="1"/>
  <c r="W965" i="1"/>
  <c r="V965" i="1"/>
  <c r="U965" i="1"/>
  <c r="T965" i="1"/>
  <c r="S965" i="1"/>
  <c r="R965" i="1"/>
  <c r="Q965" i="1"/>
  <c r="P965" i="1"/>
  <c r="O965" i="1"/>
  <c r="N965" i="1"/>
  <c r="M965" i="1"/>
  <c r="L965" i="1"/>
  <c r="K965" i="1"/>
  <c r="J965" i="1"/>
  <c r="I965" i="1"/>
  <c r="G965" i="1"/>
  <c r="F965" i="1"/>
  <c r="E965" i="1"/>
  <c r="D965" i="1"/>
  <c r="H964" i="1"/>
  <c r="Y964" i="1" s="1"/>
  <c r="D964" i="1"/>
  <c r="H963" i="1"/>
  <c r="Y963" i="1" s="1"/>
  <c r="Z963" i="1" s="1"/>
  <c r="D963" i="1"/>
  <c r="AB962" i="1"/>
  <c r="AA962" i="1"/>
  <c r="Z962" i="1"/>
  <c r="Y962" i="1"/>
  <c r="X962" i="1"/>
  <c r="W962" i="1"/>
  <c r="V962" i="1"/>
  <c r="AO971" i="1" s="1"/>
  <c r="U962" i="1"/>
  <c r="T962" i="1"/>
  <c r="S962" i="1"/>
  <c r="R962" i="1"/>
  <c r="Q962" i="1"/>
  <c r="P962" i="1"/>
  <c r="AM971" i="1" s="1"/>
  <c r="O962" i="1"/>
  <c r="AL971" i="1" s="1"/>
  <c r="N962" i="1"/>
  <c r="M962" i="1"/>
  <c r="L962" i="1"/>
  <c r="AJ971" i="1" s="1"/>
  <c r="K962" i="1"/>
  <c r="J962" i="1"/>
  <c r="I962" i="1"/>
  <c r="H962" i="1"/>
  <c r="G962" i="1"/>
  <c r="F962" i="1"/>
  <c r="AH971" i="1" s="1"/>
  <c r="E962" i="1"/>
  <c r="AG971" i="1" s="1"/>
  <c r="D962" i="1"/>
  <c r="AF971" i="1" s="1"/>
  <c r="H961" i="1"/>
  <c r="Y961" i="1" s="1"/>
  <c r="D961" i="1"/>
  <c r="H960" i="1"/>
  <c r="Y960" i="1" s="1"/>
  <c r="D960" i="1"/>
  <c r="AB959" i="1"/>
  <c r="AA959" i="1"/>
  <c r="Z959" i="1"/>
  <c r="Y959" i="1"/>
  <c r="X959" i="1"/>
  <c r="W959" i="1"/>
  <c r="V959" i="1"/>
  <c r="U959" i="1"/>
  <c r="T959" i="1"/>
  <c r="S959" i="1"/>
  <c r="R959" i="1"/>
  <c r="Q959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AB958" i="1"/>
  <c r="AA958" i="1"/>
  <c r="Y958" i="1"/>
  <c r="X958" i="1"/>
  <c r="W958" i="1"/>
  <c r="V958" i="1"/>
  <c r="U958" i="1"/>
  <c r="T958" i="1"/>
  <c r="S958" i="1"/>
  <c r="R958" i="1"/>
  <c r="Q958" i="1"/>
  <c r="P958" i="1"/>
  <c r="O958" i="1"/>
  <c r="N958" i="1"/>
  <c r="M958" i="1"/>
  <c r="L958" i="1"/>
  <c r="K958" i="1"/>
  <c r="J958" i="1"/>
  <c r="I958" i="1"/>
  <c r="G958" i="1"/>
  <c r="F958" i="1"/>
  <c r="E958" i="1"/>
  <c r="D958" i="1"/>
  <c r="AB957" i="1"/>
  <c r="AA957" i="1"/>
  <c r="Z957" i="1"/>
  <c r="X957" i="1"/>
  <c r="W957" i="1"/>
  <c r="V957" i="1"/>
  <c r="U957" i="1"/>
  <c r="T957" i="1"/>
  <c r="S957" i="1"/>
  <c r="R957" i="1"/>
  <c r="Y957" i="1" s="1"/>
  <c r="Q957" i="1"/>
  <c r="P957" i="1"/>
  <c r="O957" i="1"/>
  <c r="N957" i="1"/>
  <c r="M957" i="1"/>
  <c r="L957" i="1"/>
  <c r="K957" i="1"/>
  <c r="J957" i="1"/>
  <c r="I957" i="1"/>
  <c r="G957" i="1"/>
  <c r="F957" i="1"/>
  <c r="E957" i="1"/>
  <c r="D957" i="1"/>
  <c r="R955" i="1"/>
  <c r="AB953" i="1"/>
  <c r="AA953" i="1"/>
  <c r="Z953" i="1"/>
  <c r="Y953" i="1"/>
  <c r="X953" i="1"/>
  <c r="W953" i="1"/>
  <c r="V953" i="1"/>
  <c r="U953" i="1"/>
  <c r="T953" i="1"/>
  <c r="S953" i="1"/>
  <c r="Q953" i="1"/>
  <c r="P953" i="1"/>
  <c r="O953" i="1"/>
  <c r="N953" i="1"/>
  <c r="M953" i="1"/>
  <c r="L953" i="1"/>
  <c r="K953" i="1"/>
  <c r="J953" i="1"/>
  <c r="I953" i="1"/>
  <c r="G953" i="1"/>
  <c r="F953" i="1"/>
  <c r="E953" i="1"/>
  <c r="AB952" i="1"/>
  <c r="AA952" i="1"/>
  <c r="X952" i="1"/>
  <c r="W952" i="1"/>
  <c r="V952" i="1"/>
  <c r="U952" i="1"/>
  <c r="T952" i="1"/>
  <c r="S952" i="1"/>
  <c r="Q952" i="1"/>
  <c r="P952" i="1"/>
  <c r="O952" i="1"/>
  <c r="N952" i="1"/>
  <c r="M952" i="1"/>
  <c r="L952" i="1"/>
  <c r="K952" i="1"/>
  <c r="J952" i="1"/>
  <c r="I952" i="1"/>
  <c r="H952" i="1"/>
  <c r="H955" i="1" s="1"/>
  <c r="G952" i="1"/>
  <c r="F952" i="1"/>
  <c r="E952" i="1"/>
  <c r="D952" i="1"/>
  <c r="AB951" i="1"/>
  <c r="AA951" i="1"/>
  <c r="Y951" i="1"/>
  <c r="Z951" i="1" s="1"/>
  <c r="X951" i="1"/>
  <c r="W951" i="1"/>
  <c r="V951" i="1"/>
  <c r="U951" i="1"/>
  <c r="U955" i="1" s="1"/>
  <c r="T951" i="1"/>
  <c r="S951" i="1"/>
  <c r="Q951" i="1"/>
  <c r="P951" i="1"/>
  <c r="O951" i="1"/>
  <c r="N951" i="1"/>
  <c r="M951" i="1"/>
  <c r="L951" i="1"/>
  <c r="K951" i="1"/>
  <c r="J951" i="1"/>
  <c r="I951" i="1"/>
  <c r="G951" i="1"/>
  <c r="F951" i="1"/>
  <c r="E951" i="1"/>
  <c r="AB945" i="1"/>
  <c r="AA945" i="1"/>
  <c r="Y945" i="1"/>
  <c r="X945" i="1"/>
  <c r="W945" i="1"/>
  <c r="V945" i="1"/>
  <c r="U945" i="1"/>
  <c r="T945" i="1"/>
  <c r="S945" i="1"/>
  <c r="Q945" i="1"/>
  <c r="P945" i="1"/>
  <c r="O945" i="1"/>
  <c r="N945" i="1"/>
  <c r="M945" i="1"/>
  <c r="L945" i="1"/>
  <c r="K945" i="1"/>
  <c r="J945" i="1"/>
  <c r="I945" i="1"/>
  <c r="G945" i="1"/>
  <c r="F945" i="1"/>
  <c r="E945" i="1"/>
  <c r="D945" i="1"/>
  <c r="AB944" i="1"/>
  <c r="AA944" i="1"/>
  <c r="Y944" i="1"/>
  <c r="Z944" i="1" s="1"/>
  <c r="X944" i="1"/>
  <c r="W944" i="1"/>
  <c r="V944" i="1"/>
  <c r="U944" i="1"/>
  <c r="T944" i="1"/>
  <c r="S944" i="1"/>
  <c r="Q944" i="1"/>
  <c r="P944" i="1"/>
  <c r="O944" i="1"/>
  <c r="N944" i="1"/>
  <c r="M944" i="1"/>
  <c r="L944" i="1"/>
  <c r="K944" i="1"/>
  <c r="J944" i="1"/>
  <c r="I944" i="1"/>
  <c r="G944" i="1"/>
  <c r="F944" i="1"/>
  <c r="E944" i="1"/>
  <c r="H943" i="1"/>
  <c r="Y943" i="1" s="1"/>
  <c r="D943" i="1"/>
  <c r="AB942" i="1"/>
  <c r="AA942" i="1"/>
  <c r="X942" i="1"/>
  <c r="W942" i="1"/>
  <c r="V942" i="1"/>
  <c r="AO970" i="1" s="1"/>
  <c r="U942" i="1"/>
  <c r="T942" i="1"/>
  <c r="S942" i="1"/>
  <c r="Q942" i="1"/>
  <c r="P942" i="1"/>
  <c r="AM970" i="1" s="1"/>
  <c r="O942" i="1"/>
  <c r="AL970" i="1" s="1"/>
  <c r="N942" i="1"/>
  <c r="M942" i="1"/>
  <c r="L942" i="1"/>
  <c r="AJ970" i="1" s="1"/>
  <c r="K942" i="1"/>
  <c r="J942" i="1"/>
  <c r="I942" i="1"/>
  <c r="H942" i="1"/>
  <c r="Y942" i="1" s="1"/>
  <c r="G942" i="1"/>
  <c r="F942" i="1"/>
  <c r="AH970" i="1" s="1"/>
  <c r="E942" i="1"/>
  <c r="AG970" i="1" s="1"/>
  <c r="D942" i="1"/>
  <c r="AF970" i="1" s="1"/>
  <c r="AB941" i="1"/>
  <c r="AA941" i="1"/>
  <c r="X941" i="1"/>
  <c r="W941" i="1"/>
  <c r="V941" i="1"/>
  <c r="U941" i="1"/>
  <c r="T941" i="1"/>
  <c r="S941" i="1"/>
  <c r="Q941" i="1"/>
  <c r="P941" i="1"/>
  <c r="O941" i="1"/>
  <c r="N941" i="1"/>
  <c r="M941" i="1"/>
  <c r="L941" i="1"/>
  <c r="K941" i="1"/>
  <c r="J941" i="1"/>
  <c r="I941" i="1"/>
  <c r="H941" i="1"/>
  <c r="Y941" i="1" s="1"/>
  <c r="G941" i="1"/>
  <c r="F941" i="1"/>
  <c r="E941" i="1"/>
  <c r="D941" i="1"/>
  <c r="H940" i="1"/>
  <c r="Y940" i="1" s="1"/>
  <c r="D940" i="1"/>
  <c r="H939" i="1"/>
  <c r="Y939" i="1" s="1"/>
  <c r="D939" i="1"/>
  <c r="AB938" i="1"/>
  <c r="AA938" i="1"/>
  <c r="X938" i="1"/>
  <c r="W938" i="1"/>
  <c r="V938" i="1"/>
  <c r="U938" i="1"/>
  <c r="T938" i="1"/>
  <c r="S938" i="1"/>
  <c r="R938" i="1"/>
  <c r="R947" i="1" s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AB937" i="1"/>
  <c r="AA937" i="1"/>
  <c r="Z937" i="1"/>
  <c r="X937" i="1"/>
  <c r="W937" i="1"/>
  <c r="V937" i="1"/>
  <c r="U937" i="1"/>
  <c r="T937" i="1"/>
  <c r="S937" i="1"/>
  <c r="R937" i="1"/>
  <c r="Y937" i="1" s="1"/>
  <c r="Q937" i="1"/>
  <c r="P937" i="1"/>
  <c r="O937" i="1"/>
  <c r="N937" i="1"/>
  <c r="M937" i="1"/>
  <c r="L937" i="1"/>
  <c r="K937" i="1"/>
  <c r="J937" i="1"/>
  <c r="I937" i="1"/>
  <c r="G937" i="1"/>
  <c r="F937" i="1"/>
  <c r="E937" i="1"/>
  <c r="D937" i="1"/>
  <c r="R935" i="1"/>
  <c r="AB933" i="1"/>
  <c r="AA933" i="1"/>
  <c r="Y933" i="1"/>
  <c r="Z933" i="1" s="1"/>
  <c r="X933" i="1"/>
  <c r="W933" i="1"/>
  <c r="V933" i="1"/>
  <c r="U933" i="1"/>
  <c r="T933" i="1"/>
  <c r="S933" i="1"/>
  <c r="Q933" i="1"/>
  <c r="P933" i="1"/>
  <c r="O933" i="1"/>
  <c r="N933" i="1"/>
  <c r="M933" i="1"/>
  <c r="L933" i="1"/>
  <c r="K933" i="1"/>
  <c r="J933" i="1"/>
  <c r="I933" i="1"/>
  <c r="G933" i="1"/>
  <c r="F933" i="1"/>
  <c r="E933" i="1"/>
  <c r="AB932" i="1"/>
  <c r="AA932" i="1"/>
  <c r="Y932" i="1"/>
  <c r="Z932" i="1" s="1"/>
  <c r="X932" i="1"/>
  <c r="W932" i="1"/>
  <c r="V932" i="1"/>
  <c r="U932" i="1"/>
  <c r="T932" i="1"/>
  <c r="S932" i="1"/>
  <c r="Q932" i="1"/>
  <c r="P932" i="1"/>
  <c r="O932" i="1"/>
  <c r="N932" i="1"/>
  <c r="M932" i="1"/>
  <c r="L932" i="1"/>
  <c r="K932" i="1"/>
  <c r="J932" i="1"/>
  <c r="I932" i="1"/>
  <c r="G932" i="1"/>
  <c r="F932" i="1"/>
  <c r="E932" i="1"/>
  <c r="AB931" i="1"/>
  <c r="AA931" i="1"/>
  <c r="X931" i="1"/>
  <c r="W931" i="1"/>
  <c r="V931" i="1"/>
  <c r="AO973" i="1" s="1"/>
  <c r="U931" i="1"/>
  <c r="T931" i="1"/>
  <c r="S931" i="1"/>
  <c r="Q931" i="1"/>
  <c r="P931" i="1"/>
  <c r="AM973" i="1" s="1"/>
  <c r="O931" i="1"/>
  <c r="AL973" i="1" s="1"/>
  <c r="N931" i="1"/>
  <c r="M931" i="1"/>
  <c r="L931" i="1"/>
  <c r="AJ973" i="1" s="1"/>
  <c r="K931" i="1"/>
  <c r="J931" i="1"/>
  <c r="I931" i="1"/>
  <c r="H931" i="1"/>
  <c r="Y931" i="1" s="1"/>
  <c r="G931" i="1"/>
  <c r="F931" i="1"/>
  <c r="AH973" i="1" s="1"/>
  <c r="E931" i="1"/>
  <c r="D931" i="1"/>
  <c r="AF973" i="1" s="1"/>
  <c r="H930" i="1"/>
  <c r="Y930" i="1" s="1"/>
  <c r="D930" i="1"/>
  <c r="H929" i="1"/>
  <c r="Y929" i="1" s="1"/>
  <c r="D929" i="1"/>
  <c r="AB928" i="1"/>
  <c r="AA928" i="1"/>
  <c r="X928" i="1"/>
  <c r="W928" i="1"/>
  <c r="V928" i="1"/>
  <c r="U928" i="1"/>
  <c r="T928" i="1"/>
  <c r="S928" i="1"/>
  <c r="Q928" i="1"/>
  <c r="P928" i="1"/>
  <c r="O928" i="1"/>
  <c r="N928" i="1"/>
  <c r="M928" i="1"/>
  <c r="L928" i="1"/>
  <c r="K928" i="1"/>
  <c r="J928" i="1"/>
  <c r="I928" i="1"/>
  <c r="H928" i="1"/>
  <c r="Y928" i="1" s="1"/>
  <c r="G928" i="1"/>
  <c r="F928" i="1"/>
  <c r="E928" i="1"/>
  <c r="D928" i="1"/>
  <c r="AB927" i="1"/>
  <c r="AA927" i="1"/>
  <c r="X927" i="1"/>
  <c r="W927" i="1"/>
  <c r="V927" i="1"/>
  <c r="U927" i="1"/>
  <c r="T927" i="1"/>
  <c r="S927" i="1"/>
  <c r="Q927" i="1"/>
  <c r="P927" i="1"/>
  <c r="O927" i="1"/>
  <c r="N927" i="1"/>
  <c r="M927" i="1"/>
  <c r="L927" i="1"/>
  <c r="K927" i="1"/>
  <c r="J927" i="1"/>
  <c r="I927" i="1"/>
  <c r="H927" i="1"/>
  <c r="Y927" i="1" s="1"/>
  <c r="G927" i="1"/>
  <c r="F927" i="1"/>
  <c r="E927" i="1"/>
  <c r="D927" i="1"/>
  <c r="R924" i="1"/>
  <c r="AB922" i="1"/>
  <c r="AA922" i="1"/>
  <c r="X922" i="1"/>
  <c r="W922" i="1"/>
  <c r="V922" i="1"/>
  <c r="U922" i="1"/>
  <c r="T922" i="1"/>
  <c r="S922" i="1"/>
  <c r="Q922" i="1"/>
  <c r="P922" i="1"/>
  <c r="O922" i="1"/>
  <c r="N922" i="1"/>
  <c r="M922" i="1"/>
  <c r="L922" i="1"/>
  <c r="K922" i="1"/>
  <c r="J922" i="1"/>
  <c r="I922" i="1"/>
  <c r="H922" i="1"/>
  <c r="Y922" i="1" s="1"/>
  <c r="Z922" i="1" s="1"/>
  <c r="G922" i="1"/>
  <c r="F922" i="1"/>
  <c r="E922" i="1"/>
  <c r="AB921" i="1"/>
  <c r="AA921" i="1"/>
  <c r="X921" i="1"/>
  <c r="W921" i="1"/>
  <c r="V921" i="1"/>
  <c r="U921" i="1"/>
  <c r="T921" i="1"/>
  <c r="S921" i="1"/>
  <c r="Q921" i="1"/>
  <c r="P921" i="1"/>
  <c r="O921" i="1"/>
  <c r="N921" i="1"/>
  <c r="M921" i="1"/>
  <c r="L921" i="1"/>
  <c r="K921" i="1"/>
  <c r="J921" i="1"/>
  <c r="I921" i="1"/>
  <c r="H921" i="1"/>
  <c r="Y921" i="1" s="1"/>
  <c r="Z921" i="1" s="1"/>
  <c r="G921" i="1"/>
  <c r="F921" i="1"/>
  <c r="E921" i="1"/>
  <c r="H920" i="1"/>
  <c r="Y920" i="1" s="1"/>
  <c r="D920" i="1"/>
  <c r="AB919" i="1"/>
  <c r="AA919" i="1"/>
  <c r="X919" i="1"/>
  <c r="W919" i="1"/>
  <c r="V919" i="1"/>
  <c r="U919" i="1"/>
  <c r="T919" i="1"/>
  <c r="S919" i="1"/>
  <c r="Q919" i="1"/>
  <c r="P919" i="1"/>
  <c r="O919" i="1"/>
  <c r="N919" i="1"/>
  <c r="M919" i="1"/>
  <c r="L919" i="1"/>
  <c r="K919" i="1"/>
  <c r="J919" i="1"/>
  <c r="I919" i="1"/>
  <c r="H919" i="1"/>
  <c r="Y919" i="1" s="1"/>
  <c r="G919" i="1"/>
  <c r="F919" i="1"/>
  <c r="E919" i="1"/>
  <c r="D919" i="1"/>
  <c r="AB918" i="1"/>
  <c r="AA918" i="1"/>
  <c r="X918" i="1"/>
  <c r="W918" i="1"/>
  <c r="V918" i="1"/>
  <c r="U918" i="1"/>
  <c r="T918" i="1"/>
  <c r="S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AB917" i="1"/>
  <c r="AA917" i="1"/>
  <c r="X917" i="1"/>
  <c r="W917" i="1"/>
  <c r="V917" i="1"/>
  <c r="U917" i="1"/>
  <c r="T917" i="1"/>
  <c r="S917" i="1"/>
  <c r="Q917" i="1"/>
  <c r="P917" i="1"/>
  <c r="O917" i="1"/>
  <c r="N917" i="1"/>
  <c r="M917" i="1"/>
  <c r="L917" i="1"/>
  <c r="K917" i="1"/>
  <c r="J917" i="1"/>
  <c r="I917" i="1"/>
  <c r="G917" i="1"/>
  <c r="F917" i="1"/>
  <c r="E917" i="1"/>
  <c r="D917" i="1"/>
  <c r="AB913" i="1"/>
  <c r="AA913" i="1"/>
  <c r="X913" i="1"/>
  <c r="W913" i="1"/>
  <c r="V913" i="1"/>
  <c r="AO982" i="1" s="1"/>
  <c r="U913" i="1"/>
  <c r="T913" i="1"/>
  <c r="S913" i="1"/>
  <c r="Q913" i="1"/>
  <c r="P913" i="1"/>
  <c r="AM982" i="1" s="1"/>
  <c r="O913" i="1"/>
  <c r="AL982" i="1" s="1"/>
  <c r="N913" i="1"/>
  <c r="M913" i="1"/>
  <c r="L913" i="1"/>
  <c r="AJ982" i="1" s="1"/>
  <c r="K913" i="1"/>
  <c r="J913" i="1"/>
  <c r="I913" i="1"/>
  <c r="H913" i="1"/>
  <c r="Y913" i="1" s="1"/>
  <c r="G913" i="1"/>
  <c r="F913" i="1"/>
  <c r="AH982" i="1" s="1"/>
  <c r="E913" i="1"/>
  <c r="AG982" i="1" s="1"/>
  <c r="D913" i="1"/>
  <c r="C913" i="1"/>
  <c r="AB912" i="1"/>
  <c r="AA912" i="1"/>
  <c r="Y912" i="1"/>
  <c r="Z912" i="1" s="1"/>
  <c r="X912" i="1"/>
  <c r="W912" i="1"/>
  <c r="V912" i="1"/>
  <c r="AO977" i="1" s="1"/>
  <c r="U912" i="1"/>
  <c r="T912" i="1"/>
  <c r="S912" i="1"/>
  <c r="Q912" i="1"/>
  <c r="P912" i="1"/>
  <c r="O912" i="1"/>
  <c r="N912" i="1"/>
  <c r="M912" i="1"/>
  <c r="L912" i="1"/>
  <c r="K912" i="1"/>
  <c r="J912" i="1"/>
  <c r="I912" i="1"/>
  <c r="G912" i="1"/>
  <c r="F912" i="1"/>
  <c r="E912" i="1"/>
  <c r="AB911" i="1"/>
  <c r="AA911" i="1"/>
  <c r="Y911" i="1"/>
  <c r="Z911" i="1" s="1"/>
  <c r="X911" i="1"/>
  <c r="W911" i="1"/>
  <c r="V911" i="1"/>
  <c r="U911" i="1"/>
  <c r="T911" i="1"/>
  <c r="S911" i="1"/>
  <c r="Q911" i="1"/>
  <c r="P911" i="1"/>
  <c r="O911" i="1"/>
  <c r="N911" i="1"/>
  <c r="M911" i="1"/>
  <c r="L911" i="1"/>
  <c r="K911" i="1"/>
  <c r="J911" i="1"/>
  <c r="I911" i="1"/>
  <c r="G911" i="1"/>
  <c r="F911" i="1"/>
  <c r="E911" i="1"/>
  <c r="H910" i="1"/>
  <c r="Y910" i="1" s="1"/>
  <c r="D910" i="1"/>
  <c r="AB909" i="1"/>
  <c r="AA909" i="1"/>
  <c r="X909" i="1"/>
  <c r="W909" i="1"/>
  <c r="V909" i="1"/>
  <c r="U909" i="1"/>
  <c r="T909" i="1"/>
  <c r="S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AB908" i="1"/>
  <c r="AA908" i="1"/>
  <c r="X908" i="1"/>
  <c r="W908" i="1"/>
  <c r="V908" i="1"/>
  <c r="U908" i="1"/>
  <c r="T908" i="1"/>
  <c r="S908" i="1"/>
  <c r="R908" i="1"/>
  <c r="R915" i="1" s="1"/>
  <c r="Q908" i="1"/>
  <c r="P908" i="1"/>
  <c r="O908" i="1"/>
  <c r="N908" i="1"/>
  <c r="M908" i="1"/>
  <c r="L908" i="1"/>
  <c r="K908" i="1"/>
  <c r="J908" i="1"/>
  <c r="I908" i="1"/>
  <c r="G908" i="1"/>
  <c r="F908" i="1"/>
  <c r="E908" i="1"/>
  <c r="D908" i="1"/>
  <c r="AB903" i="1"/>
  <c r="AA903" i="1"/>
  <c r="X903" i="1"/>
  <c r="W903" i="1"/>
  <c r="V903" i="1"/>
  <c r="U903" i="1"/>
  <c r="T903" i="1"/>
  <c r="S903" i="1"/>
  <c r="R903" i="1"/>
  <c r="Y903" i="1" s="1"/>
  <c r="Q903" i="1"/>
  <c r="P903" i="1"/>
  <c r="O903" i="1"/>
  <c r="N903" i="1"/>
  <c r="M903" i="1"/>
  <c r="L903" i="1"/>
  <c r="K903" i="1"/>
  <c r="J903" i="1"/>
  <c r="I903" i="1"/>
  <c r="G903" i="1"/>
  <c r="F903" i="1"/>
  <c r="E903" i="1"/>
  <c r="D903" i="1"/>
  <c r="AB902" i="1"/>
  <c r="AA902" i="1"/>
  <c r="X902" i="1"/>
  <c r="W902" i="1"/>
  <c r="V902" i="1"/>
  <c r="U902" i="1"/>
  <c r="T902" i="1"/>
  <c r="S902" i="1"/>
  <c r="R902" i="1"/>
  <c r="Y902" i="1" s="1"/>
  <c r="Q902" i="1"/>
  <c r="P902" i="1"/>
  <c r="O902" i="1"/>
  <c r="N902" i="1"/>
  <c r="M902" i="1"/>
  <c r="L902" i="1"/>
  <c r="K902" i="1"/>
  <c r="J902" i="1"/>
  <c r="I902" i="1"/>
  <c r="G902" i="1"/>
  <c r="F902" i="1"/>
  <c r="E902" i="1"/>
  <c r="D902" i="1"/>
  <c r="AB901" i="1"/>
  <c r="AA901" i="1"/>
  <c r="Y901" i="1"/>
  <c r="X901" i="1"/>
  <c r="W901" i="1"/>
  <c r="V901" i="1"/>
  <c r="U901" i="1"/>
  <c r="T901" i="1"/>
  <c r="S901" i="1"/>
  <c r="Q901" i="1"/>
  <c r="P901" i="1"/>
  <c r="O901" i="1"/>
  <c r="N901" i="1"/>
  <c r="M901" i="1"/>
  <c r="L901" i="1"/>
  <c r="AJ979" i="1" s="1"/>
  <c r="K901" i="1"/>
  <c r="J901" i="1"/>
  <c r="I901" i="1"/>
  <c r="G901" i="1"/>
  <c r="F901" i="1"/>
  <c r="E901" i="1"/>
  <c r="D901" i="1"/>
  <c r="H900" i="1"/>
  <c r="Y900" i="1" s="1"/>
  <c r="Z900" i="1" s="1"/>
  <c r="D900" i="1"/>
  <c r="AB899" i="1"/>
  <c r="AA899" i="1"/>
  <c r="X899" i="1"/>
  <c r="W899" i="1"/>
  <c r="V899" i="1"/>
  <c r="U899" i="1"/>
  <c r="T899" i="1"/>
  <c r="S899" i="1"/>
  <c r="Q899" i="1"/>
  <c r="P899" i="1"/>
  <c r="O899" i="1"/>
  <c r="N899" i="1"/>
  <c r="M899" i="1"/>
  <c r="L899" i="1"/>
  <c r="K899" i="1"/>
  <c r="J899" i="1"/>
  <c r="I899" i="1"/>
  <c r="H899" i="1"/>
  <c r="Y899" i="1" s="1"/>
  <c r="G899" i="1"/>
  <c r="F899" i="1"/>
  <c r="E899" i="1"/>
  <c r="D899" i="1"/>
  <c r="Y898" i="1"/>
  <c r="Z898" i="1" s="1"/>
  <c r="H898" i="1"/>
  <c r="D898" i="1"/>
  <c r="AB897" i="1"/>
  <c r="AA897" i="1"/>
  <c r="X897" i="1"/>
  <c r="W897" i="1"/>
  <c r="V897" i="1"/>
  <c r="U897" i="1"/>
  <c r="T897" i="1"/>
  <c r="S897" i="1"/>
  <c r="R897" i="1"/>
  <c r="Y897" i="1" s="1"/>
  <c r="Q897" i="1"/>
  <c r="P897" i="1"/>
  <c r="O897" i="1"/>
  <c r="N897" i="1"/>
  <c r="M897" i="1"/>
  <c r="L897" i="1"/>
  <c r="K897" i="1"/>
  <c r="J897" i="1"/>
  <c r="I897" i="1"/>
  <c r="G897" i="1"/>
  <c r="F897" i="1"/>
  <c r="E897" i="1"/>
  <c r="D897" i="1"/>
  <c r="R894" i="1"/>
  <c r="AB892" i="1"/>
  <c r="AA892" i="1"/>
  <c r="Y892" i="1"/>
  <c r="X892" i="1"/>
  <c r="W892" i="1"/>
  <c r="V892" i="1"/>
  <c r="U892" i="1"/>
  <c r="T892" i="1"/>
  <c r="S892" i="1"/>
  <c r="Q892" i="1"/>
  <c r="P892" i="1"/>
  <c r="AM978" i="1" s="1"/>
  <c r="O892" i="1"/>
  <c r="N892" i="1"/>
  <c r="M892" i="1"/>
  <c r="L892" i="1"/>
  <c r="AJ978" i="1" s="1"/>
  <c r="K892" i="1"/>
  <c r="J892" i="1"/>
  <c r="I892" i="1"/>
  <c r="G892" i="1"/>
  <c r="F892" i="1"/>
  <c r="E892" i="1"/>
  <c r="D892" i="1"/>
  <c r="AB891" i="1"/>
  <c r="AB894" i="1" s="1"/>
  <c r="AA891" i="1"/>
  <c r="Y891" i="1"/>
  <c r="X891" i="1"/>
  <c r="W891" i="1"/>
  <c r="V891" i="1"/>
  <c r="U891" i="1"/>
  <c r="T891" i="1"/>
  <c r="S891" i="1"/>
  <c r="S894" i="1" s="1"/>
  <c r="Q891" i="1"/>
  <c r="P891" i="1"/>
  <c r="O891" i="1"/>
  <c r="N891" i="1"/>
  <c r="N894" i="1" s="1"/>
  <c r="M891" i="1"/>
  <c r="L891" i="1"/>
  <c r="K891" i="1"/>
  <c r="J891" i="1"/>
  <c r="I891" i="1"/>
  <c r="G891" i="1"/>
  <c r="F891" i="1"/>
  <c r="E891" i="1"/>
  <c r="D891" i="1"/>
  <c r="AF976" i="1" s="1"/>
  <c r="H890" i="1"/>
  <c r="Y890" i="1" s="1"/>
  <c r="D890" i="1"/>
  <c r="Y889" i="1"/>
  <c r="D889" i="1"/>
  <c r="AB888" i="1"/>
  <c r="AA888" i="1"/>
  <c r="X888" i="1"/>
  <c r="W888" i="1"/>
  <c r="V888" i="1"/>
  <c r="U888" i="1"/>
  <c r="T888" i="1"/>
  <c r="S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AF881" i="1"/>
  <c r="R881" i="1"/>
  <c r="AB879" i="1"/>
  <c r="AA879" i="1"/>
  <c r="X879" i="1"/>
  <c r="W879" i="1"/>
  <c r="V879" i="1"/>
  <c r="AO872" i="1" s="1"/>
  <c r="U879" i="1"/>
  <c r="T879" i="1"/>
  <c r="S879" i="1"/>
  <c r="Q879" i="1"/>
  <c r="P879" i="1"/>
  <c r="AM872" i="1" s="1"/>
  <c r="O879" i="1"/>
  <c r="AL872" i="1" s="1"/>
  <c r="N879" i="1"/>
  <c r="M879" i="1"/>
  <c r="L879" i="1"/>
  <c r="AJ872" i="1" s="1"/>
  <c r="K879" i="1"/>
  <c r="J879" i="1"/>
  <c r="I879" i="1"/>
  <c r="H879" i="1"/>
  <c r="Y879" i="1" s="1"/>
  <c r="G879" i="1"/>
  <c r="F879" i="1"/>
  <c r="AH872" i="1" s="1"/>
  <c r="E879" i="1"/>
  <c r="D879" i="1"/>
  <c r="AF872" i="1" s="1"/>
  <c r="H878" i="1"/>
  <c r="Y878" i="1" s="1"/>
  <c r="D878" i="1"/>
  <c r="H877" i="1"/>
  <c r="Y877" i="1" s="1"/>
  <c r="D877" i="1"/>
  <c r="AB876" i="1"/>
  <c r="AA876" i="1"/>
  <c r="X876" i="1"/>
  <c r="W876" i="1"/>
  <c r="V876" i="1"/>
  <c r="U876" i="1"/>
  <c r="T876" i="1"/>
  <c r="S876" i="1"/>
  <c r="Q876" i="1"/>
  <c r="P876" i="1"/>
  <c r="O876" i="1"/>
  <c r="N876" i="1"/>
  <c r="M876" i="1"/>
  <c r="L876" i="1"/>
  <c r="K876" i="1"/>
  <c r="J876" i="1"/>
  <c r="I876" i="1"/>
  <c r="H876" i="1"/>
  <c r="Y876" i="1" s="1"/>
  <c r="G876" i="1"/>
  <c r="F876" i="1"/>
  <c r="E876" i="1"/>
  <c r="D876" i="1"/>
  <c r="AB875" i="1"/>
  <c r="AA875" i="1"/>
  <c r="X875" i="1"/>
  <c r="W875" i="1"/>
  <c r="V875" i="1"/>
  <c r="U875" i="1"/>
  <c r="T875" i="1"/>
  <c r="T881" i="1" s="1"/>
  <c r="S875" i="1"/>
  <c r="Q875" i="1"/>
  <c r="P875" i="1"/>
  <c r="O875" i="1"/>
  <c r="O881" i="1" s="1"/>
  <c r="N875" i="1"/>
  <c r="M875" i="1"/>
  <c r="L875" i="1"/>
  <c r="K875" i="1"/>
  <c r="K881" i="1" s="1"/>
  <c r="J875" i="1"/>
  <c r="I875" i="1"/>
  <c r="H875" i="1"/>
  <c r="Y875" i="1" s="1"/>
  <c r="G875" i="1"/>
  <c r="F875" i="1"/>
  <c r="E875" i="1"/>
  <c r="D875" i="1"/>
  <c r="AF870" i="1"/>
  <c r="AB869" i="1"/>
  <c r="AA869" i="1"/>
  <c r="Y869" i="1"/>
  <c r="Z869" i="1" s="1"/>
  <c r="X869" i="1"/>
  <c r="W869" i="1"/>
  <c r="V869" i="1"/>
  <c r="U869" i="1"/>
  <c r="T869" i="1"/>
  <c r="S869" i="1"/>
  <c r="Q869" i="1"/>
  <c r="P869" i="1"/>
  <c r="O869" i="1"/>
  <c r="N869" i="1"/>
  <c r="M869" i="1"/>
  <c r="L869" i="1"/>
  <c r="K869" i="1"/>
  <c r="J869" i="1"/>
  <c r="I869" i="1"/>
  <c r="G869" i="1"/>
  <c r="F869" i="1"/>
  <c r="E869" i="1"/>
  <c r="AB868" i="1"/>
  <c r="AA868" i="1"/>
  <c r="X868" i="1"/>
  <c r="W868" i="1"/>
  <c r="V868" i="1"/>
  <c r="U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G868" i="1"/>
  <c r="F868" i="1"/>
  <c r="E868" i="1"/>
  <c r="D868" i="1"/>
  <c r="AB867" i="1"/>
  <c r="AA867" i="1"/>
  <c r="Y867" i="1"/>
  <c r="Z867" i="1" s="1"/>
  <c r="X867" i="1"/>
  <c r="W867" i="1"/>
  <c r="V867" i="1"/>
  <c r="U867" i="1"/>
  <c r="T867" i="1"/>
  <c r="S867" i="1"/>
  <c r="Q867" i="1"/>
  <c r="P867" i="1"/>
  <c r="O867" i="1"/>
  <c r="N867" i="1"/>
  <c r="M867" i="1"/>
  <c r="L867" i="1"/>
  <c r="K867" i="1"/>
  <c r="J867" i="1"/>
  <c r="I867" i="1"/>
  <c r="G867" i="1"/>
  <c r="F867" i="1"/>
  <c r="E867" i="1"/>
  <c r="H866" i="1"/>
  <c r="Y866" i="1" s="1"/>
  <c r="D866" i="1"/>
  <c r="AB865" i="1"/>
  <c r="AA865" i="1"/>
  <c r="X865" i="1"/>
  <c r="W865" i="1"/>
  <c r="V865" i="1"/>
  <c r="U865" i="1"/>
  <c r="T865" i="1"/>
  <c r="S865" i="1"/>
  <c r="Q865" i="1"/>
  <c r="P865" i="1"/>
  <c r="O865" i="1"/>
  <c r="N865" i="1"/>
  <c r="M865" i="1"/>
  <c r="L865" i="1"/>
  <c r="K865" i="1"/>
  <c r="J865" i="1"/>
  <c r="I865" i="1"/>
  <c r="H865" i="1"/>
  <c r="Y865" i="1" s="1"/>
  <c r="G865" i="1"/>
  <c r="F865" i="1"/>
  <c r="E865" i="1"/>
  <c r="D865" i="1"/>
  <c r="H864" i="1"/>
  <c r="Y864" i="1" s="1"/>
  <c r="D864" i="1"/>
  <c r="AB863" i="1"/>
  <c r="AA863" i="1"/>
  <c r="X863" i="1"/>
  <c r="W863" i="1"/>
  <c r="V863" i="1"/>
  <c r="AO875" i="1" s="1"/>
  <c r="U863" i="1"/>
  <c r="T863" i="1"/>
  <c r="S863" i="1"/>
  <c r="Q863" i="1"/>
  <c r="P863" i="1"/>
  <c r="AM875" i="1" s="1"/>
  <c r="O863" i="1"/>
  <c r="AL875" i="1" s="1"/>
  <c r="N863" i="1"/>
  <c r="M863" i="1"/>
  <c r="L863" i="1"/>
  <c r="AJ875" i="1" s="1"/>
  <c r="K863" i="1"/>
  <c r="J863" i="1"/>
  <c r="I863" i="1"/>
  <c r="H863" i="1"/>
  <c r="Y863" i="1" s="1"/>
  <c r="G863" i="1"/>
  <c r="F863" i="1"/>
  <c r="AH875" i="1" s="1"/>
  <c r="E863" i="1"/>
  <c r="AG875" i="1" s="1"/>
  <c r="D863" i="1"/>
  <c r="AF875" i="1" s="1"/>
  <c r="AF862" i="1"/>
  <c r="AB862" i="1"/>
  <c r="AA862" i="1"/>
  <c r="X862" i="1"/>
  <c r="W862" i="1"/>
  <c r="V862" i="1"/>
  <c r="U862" i="1"/>
  <c r="T862" i="1"/>
  <c r="S862" i="1"/>
  <c r="Q862" i="1"/>
  <c r="P862" i="1"/>
  <c r="O862" i="1"/>
  <c r="N862" i="1"/>
  <c r="M862" i="1"/>
  <c r="L862" i="1"/>
  <c r="K862" i="1"/>
  <c r="J862" i="1"/>
  <c r="I862" i="1"/>
  <c r="H862" i="1"/>
  <c r="Y862" i="1" s="1"/>
  <c r="G862" i="1"/>
  <c r="F862" i="1"/>
  <c r="E862" i="1"/>
  <c r="D862" i="1"/>
  <c r="AB861" i="1"/>
  <c r="AA861" i="1"/>
  <c r="X861" i="1"/>
  <c r="W861" i="1"/>
  <c r="V861" i="1"/>
  <c r="U861" i="1"/>
  <c r="T861" i="1"/>
  <c r="S861" i="1"/>
  <c r="Q861" i="1"/>
  <c r="P861" i="1"/>
  <c r="AM860" i="1" s="1"/>
  <c r="O861" i="1"/>
  <c r="N861" i="1"/>
  <c r="M861" i="1"/>
  <c r="L861" i="1"/>
  <c r="K861" i="1"/>
  <c r="J861" i="1"/>
  <c r="I861" i="1"/>
  <c r="H861" i="1"/>
  <c r="Y861" i="1" s="1"/>
  <c r="G861" i="1"/>
  <c r="F861" i="1"/>
  <c r="AH860" i="1" s="1"/>
  <c r="E861" i="1"/>
  <c r="AG860" i="1" s="1"/>
  <c r="D861" i="1"/>
  <c r="AF860" i="1" s="1"/>
  <c r="AL860" i="1"/>
  <c r="AB860" i="1"/>
  <c r="AA860" i="1"/>
  <c r="X860" i="1"/>
  <c r="W860" i="1"/>
  <c r="V860" i="1"/>
  <c r="U860" i="1"/>
  <c r="T860" i="1"/>
  <c r="S860" i="1"/>
  <c r="Q860" i="1"/>
  <c r="P860" i="1"/>
  <c r="O860" i="1"/>
  <c r="N860" i="1"/>
  <c r="M860" i="1"/>
  <c r="L860" i="1"/>
  <c r="K860" i="1"/>
  <c r="J860" i="1"/>
  <c r="I860" i="1"/>
  <c r="H860" i="1"/>
  <c r="Y860" i="1" s="1"/>
  <c r="G860" i="1"/>
  <c r="F860" i="1"/>
  <c r="E860" i="1"/>
  <c r="D860" i="1"/>
  <c r="AB854" i="1"/>
  <c r="AA854" i="1"/>
  <c r="X854" i="1"/>
  <c r="W854" i="1"/>
  <c r="V854" i="1"/>
  <c r="U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G854" i="1"/>
  <c r="F854" i="1"/>
  <c r="E854" i="1"/>
  <c r="D854" i="1"/>
  <c r="AB853" i="1"/>
  <c r="AA853" i="1"/>
  <c r="X853" i="1"/>
  <c r="W853" i="1"/>
  <c r="V853" i="1"/>
  <c r="U853" i="1"/>
  <c r="T853" i="1"/>
  <c r="S853" i="1"/>
  <c r="Q853" i="1"/>
  <c r="P853" i="1"/>
  <c r="O853" i="1"/>
  <c r="N853" i="1"/>
  <c r="M853" i="1"/>
  <c r="L853" i="1"/>
  <c r="K853" i="1"/>
  <c r="J853" i="1"/>
  <c r="I853" i="1"/>
  <c r="H853" i="1"/>
  <c r="Y853" i="1" s="1"/>
  <c r="G853" i="1"/>
  <c r="F853" i="1"/>
  <c r="E853" i="1"/>
  <c r="D853" i="1"/>
  <c r="AB852" i="1"/>
  <c r="AA852" i="1"/>
  <c r="X852" i="1"/>
  <c r="W852" i="1"/>
  <c r="V852" i="1"/>
  <c r="U852" i="1"/>
  <c r="T852" i="1"/>
  <c r="S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AB851" i="1"/>
  <c r="AB856" i="1" s="1"/>
  <c r="AA851" i="1"/>
  <c r="AA856" i="1" s="1"/>
  <c r="Z851" i="1"/>
  <c r="Y851" i="1"/>
  <c r="X851" i="1"/>
  <c r="X856" i="1" s="1"/>
  <c r="W851" i="1"/>
  <c r="V851" i="1"/>
  <c r="U851" i="1"/>
  <c r="T851" i="1"/>
  <c r="T856" i="1" s="1"/>
  <c r="S851" i="1"/>
  <c r="S856" i="1" s="1"/>
  <c r="Q851" i="1"/>
  <c r="P851" i="1"/>
  <c r="O851" i="1"/>
  <c r="N851" i="1"/>
  <c r="M851" i="1"/>
  <c r="L851" i="1"/>
  <c r="K851" i="1"/>
  <c r="J851" i="1"/>
  <c r="I851" i="1"/>
  <c r="G851" i="1"/>
  <c r="F851" i="1"/>
  <c r="E851" i="1"/>
  <c r="AB845" i="1"/>
  <c r="AA845" i="1"/>
  <c r="Z845" i="1"/>
  <c r="Y845" i="1"/>
  <c r="X845" i="1"/>
  <c r="W845" i="1"/>
  <c r="V845" i="1"/>
  <c r="U845" i="1"/>
  <c r="T845" i="1"/>
  <c r="S845" i="1"/>
  <c r="Q845" i="1"/>
  <c r="P845" i="1"/>
  <c r="O845" i="1"/>
  <c r="N845" i="1"/>
  <c r="M845" i="1"/>
  <c r="L845" i="1"/>
  <c r="K845" i="1"/>
  <c r="J845" i="1"/>
  <c r="I845" i="1"/>
  <c r="G845" i="1"/>
  <c r="F845" i="1"/>
  <c r="E845" i="1"/>
  <c r="AB844" i="1"/>
  <c r="AA844" i="1"/>
  <c r="Y844" i="1"/>
  <c r="Z844" i="1" s="1"/>
  <c r="X844" i="1"/>
  <c r="W844" i="1"/>
  <c r="V844" i="1"/>
  <c r="U844" i="1"/>
  <c r="T844" i="1"/>
  <c r="S844" i="1"/>
  <c r="Q844" i="1"/>
  <c r="P844" i="1"/>
  <c r="O844" i="1"/>
  <c r="N844" i="1"/>
  <c r="M844" i="1"/>
  <c r="L844" i="1"/>
  <c r="K844" i="1"/>
  <c r="J844" i="1"/>
  <c r="I844" i="1"/>
  <c r="G844" i="1"/>
  <c r="F844" i="1"/>
  <c r="E844" i="1"/>
  <c r="AB843" i="1"/>
  <c r="AA843" i="1"/>
  <c r="Z843" i="1"/>
  <c r="Y843" i="1"/>
  <c r="X843" i="1"/>
  <c r="W843" i="1"/>
  <c r="V843" i="1"/>
  <c r="U843" i="1"/>
  <c r="T843" i="1"/>
  <c r="S843" i="1"/>
  <c r="Q843" i="1"/>
  <c r="P843" i="1"/>
  <c r="O843" i="1"/>
  <c r="N843" i="1"/>
  <c r="M843" i="1"/>
  <c r="L843" i="1"/>
  <c r="K843" i="1"/>
  <c r="J843" i="1"/>
  <c r="I843" i="1"/>
  <c r="G843" i="1"/>
  <c r="F843" i="1"/>
  <c r="E843" i="1"/>
  <c r="H842" i="1"/>
  <c r="Y842" i="1" s="1"/>
  <c r="D842" i="1"/>
  <c r="H841" i="1"/>
  <c r="Y841" i="1" s="1"/>
  <c r="D841" i="1"/>
  <c r="H840" i="1"/>
  <c r="D840" i="1"/>
  <c r="AB839" i="1"/>
  <c r="AA839" i="1"/>
  <c r="Z839" i="1"/>
  <c r="X839" i="1"/>
  <c r="W839" i="1"/>
  <c r="V839" i="1"/>
  <c r="U839" i="1"/>
  <c r="T839" i="1"/>
  <c r="S839" i="1"/>
  <c r="Q839" i="1"/>
  <c r="P839" i="1"/>
  <c r="O839" i="1"/>
  <c r="N839" i="1"/>
  <c r="M839" i="1"/>
  <c r="L839" i="1"/>
  <c r="K839" i="1"/>
  <c r="J839" i="1"/>
  <c r="I839" i="1"/>
  <c r="H839" i="1"/>
  <c r="Y839" i="1" s="1"/>
  <c r="G839" i="1"/>
  <c r="F839" i="1"/>
  <c r="E839" i="1"/>
  <c r="D839" i="1"/>
  <c r="AB838" i="1"/>
  <c r="AA838" i="1"/>
  <c r="Z838" i="1"/>
  <c r="Y838" i="1"/>
  <c r="X838" i="1"/>
  <c r="W838" i="1"/>
  <c r="V838" i="1"/>
  <c r="U838" i="1"/>
  <c r="T838" i="1"/>
  <c r="S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AB837" i="1"/>
  <c r="AA837" i="1"/>
  <c r="X837" i="1"/>
  <c r="W837" i="1"/>
  <c r="V837" i="1"/>
  <c r="U837" i="1"/>
  <c r="T837" i="1"/>
  <c r="S837" i="1"/>
  <c r="R837" i="1"/>
  <c r="R847" i="1" s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AB831" i="1"/>
  <c r="AA831" i="1"/>
  <c r="X831" i="1"/>
  <c r="W831" i="1"/>
  <c r="V831" i="1"/>
  <c r="AO880" i="1" s="1"/>
  <c r="U831" i="1"/>
  <c r="T831" i="1"/>
  <c r="S831" i="1"/>
  <c r="R831" i="1"/>
  <c r="Q831" i="1"/>
  <c r="P831" i="1"/>
  <c r="AM880" i="1" s="1"/>
  <c r="O831" i="1"/>
  <c r="AL880" i="1" s="1"/>
  <c r="N831" i="1"/>
  <c r="M831" i="1"/>
  <c r="L831" i="1"/>
  <c r="AJ880" i="1" s="1"/>
  <c r="K831" i="1"/>
  <c r="J831" i="1"/>
  <c r="I831" i="1"/>
  <c r="H831" i="1"/>
  <c r="G831" i="1"/>
  <c r="F831" i="1"/>
  <c r="AH880" i="1" s="1"/>
  <c r="E831" i="1"/>
  <c r="AG880" i="1" s="1"/>
  <c r="D831" i="1"/>
  <c r="AF880" i="1" s="1"/>
  <c r="AB830" i="1"/>
  <c r="AA830" i="1"/>
  <c r="X830" i="1"/>
  <c r="W830" i="1"/>
  <c r="V830" i="1"/>
  <c r="U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AF871" i="1" s="1"/>
  <c r="AB829" i="1"/>
  <c r="AA829" i="1"/>
  <c r="X829" i="1"/>
  <c r="W829" i="1"/>
  <c r="V829" i="1"/>
  <c r="U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AF879" i="1" s="1"/>
  <c r="H828" i="1"/>
  <c r="Y828" i="1" s="1"/>
  <c r="Z828" i="1" s="1"/>
  <c r="D828" i="1"/>
  <c r="H827" i="1"/>
  <c r="Y827" i="1" s="1"/>
  <c r="D827" i="1"/>
  <c r="AB826" i="1"/>
  <c r="AA826" i="1"/>
  <c r="X826" i="1"/>
  <c r="W826" i="1"/>
  <c r="V826" i="1"/>
  <c r="U826" i="1"/>
  <c r="T826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H825" i="1"/>
  <c r="Y825" i="1" s="1"/>
  <c r="D825" i="1"/>
  <c r="AB824" i="1"/>
  <c r="AA824" i="1"/>
  <c r="X824" i="1"/>
  <c r="W824" i="1"/>
  <c r="V824" i="1"/>
  <c r="U824" i="1"/>
  <c r="T824" i="1"/>
  <c r="S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AB818" i="1"/>
  <c r="AA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G818" i="1"/>
  <c r="F818" i="1"/>
  <c r="E818" i="1"/>
  <c r="D818" i="1"/>
  <c r="H817" i="1"/>
  <c r="Y817" i="1" s="1"/>
  <c r="D817" i="1"/>
  <c r="H816" i="1"/>
  <c r="Y816" i="1" s="1"/>
  <c r="D816" i="1"/>
  <c r="H815" i="1"/>
  <c r="Y815" i="1" s="1"/>
  <c r="D815" i="1"/>
  <c r="AB814" i="1"/>
  <c r="AA814" i="1"/>
  <c r="X814" i="1"/>
  <c r="W814" i="1"/>
  <c r="V814" i="1"/>
  <c r="U814" i="1"/>
  <c r="T814" i="1"/>
  <c r="S814" i="1"/>
  <c r="Q814" i="1"/>
  <c r="P814" i="1"/>
  <c r="O814" i="1"/>
  <c r="N814" i="1"/>
  <c r="M814" i="1"/>
  <c r="L814" i="1"/>
  <c r="K814" i="1"/>
  <c r="J814" i="1"/>
  <c r="I814" i="1"/>
  <c r="H814" i="1"/>
  <c r="Y814" i="1" s="1"/>
  <c r="G814" i="1"/>
  <c r="F814" i="1"/>
  <c r="E814" i="1"/>
  <c r="D814" i="1"/>
  <c r="AB813" i="1"/>
  <c r="AA813" i="1"/>
  <c r="X813" i="1"/>
  <c r="X820" i="1" s="1"/>
  <c r="W813" i="1"/>
  <c r="V813" i="1"/>
  <c r="U813" i="1"/>
  <c r="T813" i="1"/>
  <c r="S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AB807" i="1"/>
  <c r="AA807" i="1"/>
  <c r="X807" i="1"/>
  <c r="W807" i="1"/>
  <c r="V807" i="1"/>
  <c r="AO876" i="1" s="1"/>
  <c r="U807" i="1"/>
  <c r="T807" i="1"/>
  <c r="S807" i="1"/>
  <c r="Q807" i="1"/>
  <c r="P807" i="1"/>
  <c r="AM876" i="1" s="1"/>
  <c r="O807" i="1"/>
  <c r="AL876" i="1" s="1"/>
  <c r="N807" i="1"/>
  <c r="M807" i="1"/>
  <c r="L807" i="1"/>
  <c r="AJ876" i="1" s="1"/>
  <c r="K807" i="1"/>
  <c r="J807" i="1"/>
  <c r="I807" i="1"/>
  <c r="H807" i="1"/>
  <c r="Y807" i="1" s="1"/>
  <c r="G807" i="1"/>
  <c r="F807" i="1"/>
  <c r="AH876" i="1" s="1"/>
  <c r="E807" i="1"/>
  <c r="AG876" i="1" s="1"/>
  <c r="D807" i="1"/>
  <c r="AF876" i="1" s="1"/>
  <c r="AB806" i="1"/>
  <c r="AA806" i="1"/>
  <c r="Y806" i="1"/>
  <c r="Z806" i="1" s="1"/>
  <c r="X806" i="1"/>
  <c r="W806" i="1"/>
  <c r="V806" i="1"/>
  <c r="U806" i="1"/>
  <c r="T806" i="1"/>
  <c r="S806" i="1"/>
  <c r="Q806" i="1"/>
  <c r="P806" i="1"/>
  <c r="O806" i="1"/>
  <c r="N806" i="1"/>
  <c r="M806" i="1"/>
  <c r="L806" i="1"/>
  <c r="K806" i="1"/>
  <c r="J806" i="1"/>
  <c r="I806" i="1"/>
  <c r="G806" i="1"/>
  <c r="F806" i="1"/>
  <c r="E806" i="1"/>
  <c r="AB805" i="1"/>
  <c r="AA805" i="1"/>
  <c r="Y805" i="1"/>
  <c r="Z805" i="1" s="1"/>
  <c r="X805" i="1"/>
  <c r="W805" i="1"/>
  <c r="V805" i="1"/>
  <c r="U805" i="1"/>
  <c r="T805" i="1"/>
  <c r="S805" i="1"/>
  <c r="Q805" i="1"/>
  <c r="P805" i="1"/>
  <c r="O805" i="1"/>
  <c r="N805" i="1"/>
  <c r="M805" i="1"/>
  <c r="L805" i="1"/>
  <c r="K805" i="1"/>
  <c r="J805" i="1"/>
  <c r="I805" i="1"/>
  <c r="G805" i="1"/>
  <c r="F805" i="1"/>
  <c r="E805" i="1"/>
  <c r="AB804" i="1"/>
  <c r="AA804" i="1"/>
  <c r="X804" i="1"/>
  <c r="W804" i="1"/>
  <c r="V804" i="1"/>
  <c r="U804" i="1"/>
  <c r="T804" i="1"/>
  <c r="S804" i="1"/>
  <c r="R804" i="1"/>
  <c r="Y804" i="1" s="1"/>
  <c r="Q804" i="1"/>
  <c r="P804" i="1"/>
  <c r="O804" i="1"/>
  <c r="N804" i="1"/>
  <c r="M804" i="1"/>
  <c r="L804" i="1"/>
  <c r="K804" i="1"/>
  <c r="J804" i="1"/>
  <c r="I804" i="1"/>
  <c r="G804" i="1"/>
  <c r="F804" i="1"/>
  <c r="E804" i="1"/>
  <c r="D804" i="1"/>
  <c r="H803" i="1"/>
  <c r="Y803" i="1" s="1"/>
  <c r="D803" i="1"/>
  <c r="AB802" i="1"/>
  <c r="AA802" i="1"/>
  <c r="X802" i="1"/>
  <c r="W802" i="1"/>
  <c r="V802" i="1"/>
  <c r="U802" i="1"/>
  <c r="T802" i="1"/>
  <c r="S802" i="1"/>
  <c r="Q802" i="1"/>
  <c r="P802" i="1"/>
  <c r="O802" i="1"/>
  <c r="N802" i="1"/>
  <c r="M802" i="1"/>
  <c r="L802" i="1"/>
  <c r="K802" i="1"/>
  <c r="J802" i="1"/>
  <c r="I802" i="1"/>
  <c r="H802" i="1"/>
  <c r="Y802" i="1" s="1"/>
  <c r="G802" i="1"/>
  <c r="F802" i="1"/>
  <c r="E802" i="1"/>
  <c r="D802" i="1"/>
  <c r="AB801" i="1"/>
  <c r="AA801" i="1"/>
  <c r="X801" i="1"/>
  <c r="W801" i="1"/>
  <c r="V801" i="1"/>
  <c r="U801" i="1"/>
  <c r="T801" i="1"/>
  <c r="S801" i="1"/>
  <c r="R801" i="1"/>
  <c r="Q801" i="1"/>
  <c r="P801" i="1"/>
  <c r="O801" i="1"/>
  <c r="N801" i="1"/>
  <c r="M801" i="1"/>
  <c r="L801" i="1"/>
  <c r="K801" i="1"/>
  <c r="J801" i="1"/>
  <c r="I801" i="1"/>
  <c r="G801" i="1"/>
  <c r="F801" i="1"/>
  <c r="E801" i="1"/>
  <c r="D801" i="1"/>
  <c r="AB796" i="1"/>
  <c r="AA796" i="1"/>
  <c r="X796" i="1"/>
  <c r="W796" i="1"/>
  <c r="V796" i="1"/>
  <c r="U796" i="1"/>
  <c r="T796" i="1"/>
  <c r="S796" i="1"/>
  <c r="R796" i="1"/>
  <c r="Y796" i="1" s="1"/>
  <c r="Z796" i="1" s="1"/>
  <c r="Q796" i="1"/>
  <c r="P796" i="1"/>
  <c r="O796" i="1"/>
  <c r="N796" i="1"/>
  <c r="M796" i="1"/>
  <c r="L796" i="1"/>
  <c r="K796" i="1"/>
  <c r="J796" i="1"/>
  <c r="I796" i="1"/>
  <c r="G796" i="1"/>
  <c r="F796" i="1"/>
  <c r="E796" i="1"/>
  <c r="AB795" i="1"/>
  <c r="AA795" i="1"/>
  <c r="X795" i="1"/>
  <c r="W795" i="1"/>
  <c r="V795" i="1"/>
  <c r="U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H794" i="1"/>
  <c r="Y794" i="1" s="1"/>
  <c r="D794" i="1"/>
  <c r="H793" i="1"/>
  <c r="Y793" i="1" s="1"/>
  <c r="D793" i="1"/>
  <c r="AB792" i="1"/>
  <c r="AA792" i="1"/>
  <c r="X792" i="1"/>
  <c r="W792" i="1"/>
  <c r="V792" i="1"/>
  <c r="U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AB791" i="1"/>
  <c r="AA791" i="1"/>
  <c r="X791" i="1"/>
  <c r="W791" i="1"/>
  <c r="V791" i="1"/>
  <c r="U791" i="1"/>
  <c r="T791" i="1"/>
  <c r="S791" i="1"/>
  <c r="R791" i="1"/>
  <c r="Y791" i="1" s="1"/>
  <c r="Q791" i="1"/>
  <c r="P791" i="1"/>
  <c r="O791" i="1"/>
  <c r="N791" i="1"/>
  <c r="M791" i="1"/>
  <c r="L791" i="1"/>
  <c r="K791" i="1"/>
  <c r="J791" i="1"/>
  <c r="I791" i="1"/>
  <c r="G791" i="1"/>
  <c r="F791" i="1"/>
  <c r="E791" i="1"/>
  <c r="D791" i="1"/>
  <c r="AB790" i="1"/>
  <c r="AA790" i="1"/>
  <c r="Y790" i="1"/>
  <c r="Z790" i="1" s="1"/>
  <c r="X790" i="1"/>
  <c r="W790" i="1"/>
  <c r="V790" i="1"/>
  <c r="U790" i="1"/>
  <c r="T790" i="1"/>
  <c r="S790" i="1"/>
  <c r="Q790" i="1"/>
  <c r="P790" i="1"/>
  <c r="O790" i="1"/>
  <c r="N790" i="1"/>
  <c r="M790" i="1"/>
  <c r="L790" i="1"/>
  <c r="K790" i="1"/>
  <c r="J790" i="1"/>
  <c r="I790" i="1"/>
  <c r="G790" i="1"/>
  <c r="F790" i="1"/>
  <c r="E790" i="1"/>
  <c r="H789" i="1"/>
  <c r="Y789" i="1" s="1"/>
  <c r="D789" i="1"/>
  <c r="AB788" i="1"/>
  <c r="AA788" i="1"/>
  <c r="X788" i="1"/>
  <c r="W788" i="1"/>
  <c r="V788" i="1"/>
  <c r="U788" i="1"/>
  <c r="T788" i="1"/>
  <c r="S788" i="1"/>
  <c r="Q788" i="1"/>
  <c r="P788" i="1"/>
  <c r="O788" i="1"/>
  <c r="N788" i="1"/>
  <c r="M788" i="1"/>
  <c r="L788" i="1"/>
  <c r="K788" i="1"/>
  <c r="J788" i="1"/>
  <c r="I788" i="1"/>
  <c r="H788" i="1"/>
  <c r="Y788" i="1" s="1"/>
  <c r="G788" i="1"/>
  <c r="F788" i="1"/>
  <c r="E788" i="1"/>
  <c r="D788" i="1"/>
  <c r="AB787" i="1"/>
  <c r="AA787" i="1"/>
  <c r="X787" i="1"/>
  <c r="W787" i="1"/>
  <c r="V787" i="1"/>
  <c r="U787" i="1"/>
  <c r="T787" i="1"/>
  <c r="S787" i="1"/>
  <c r="Q787" i="1"/>
  <c r="P787" i="1"/>
  <c r="O787" i="1"/>
  <c r="N787" i="1"/>
  <c r="M787" i="1"/>
  <c r="L787" i="1"/>
  <c r="K787" i="1"/>
  <c r="J787" i="1"/>
  <c r="I787" i="1"/>
  <c r="H787" i="1"/>
  <c r="Y787" i="1" s="1"/>
  <c r="G787" i="1"/>
  <c r="F787" i="1"/>
  <c r="E787" i="1"/>
  <c r="D787" i="1"/>
  <c r="R784" i="1"/>
  <c r="AB782" i="1"/>
  <c r="AA782" i="1"/>
  <c r="Y782" i="1"/>
  <c r="Z782" i="1" s="1"/>
  <c r="X782" i="1"/>
  <c r="W782" i="1"/>
  <c r="V782" i="1"/>
  <c r="U782" i="1"/>
  <c r="T782" i="1"/>
  <c r="S782" i="1"/>
  <c r="Q782" i="1"/>
  <c r="P782" i="1"/>
  <c r="AM879" i="1" s="1"/>
  <c r="O782" i="1"/>
  <c r="N782" i="1"/>
  <c r="M782" i="1"/>
  <c r="L782" i="1"/>
  <c r="AJ879" i="1" s="1"/>
  <c r="K782" i="1"/>
  <c r="J782" i="1"/>
  <c r="I782" i="1"/>
  <c r="G782" i="1"/>
  <c r="F782" i="1"/>
  <c r="E782" i="1"/>
  <c r="H781" i="1"/>
  <c r="Y781" i="1" s="1"/>
  <c r="D781" i="1"/>
  <c r="H780" i="1"/>
  <c r="Y780" i="1" s="1"/>
  <c r="D780" i="1"/>
  <c r="AB779" i="1"/>
  <c r="AA779" i="1"/>
  <c r="X779" i="1"/>
  <c r="W779" i="1"/>
  <c r="V779" i="1"/>
  <c r="U779" i="1"/>
  <c r="T779" i="1"/>
  <c r="S779" i="1"/>
  <c r="Q779" i="1"/>
  <c r="P779" i="1"/>
  <c r="O779" i="1"/>
  <c r="N779" i="1"/>
  <c r="M779" i="1"/>
  <c r="L779" i="1"/>
  <c r="K779" i="1"/>
  <c r="J779" i="1"/>
  <c r="I779" i="1"/>
  <c r="H779" i="1"/>
  <c r="Y779" i="1" s="1"/>
  <c r="G779" i="1"/>
  <c r="F779" i="1"/>
  <c r="E779" i="1"/>
  <c r="D779" i="1"/>
  <c r="AB778" i="1"/>
  <c r="AA778" i="1"/>
  <c r="X778" i="1"/>
  <c r="W778" i="1"/>
  <c r="V778" i="1"/>
  <c r="U778" i="1"/>
  <c r="T778" i="1"/>
  <c r="S778" i="1"/>
  <c r="Q778" i="1"/>
  <c r="P778" i="1"/>
  <c r="O778" i="1"/>
  <c r="N778" i="1"/>
  <c r="M778" i="1"/>
  <c r="L778" i="1"/>
  <c r="K778" i="1"/>
  <c r="J778" i="1"/>
  <c r="I778" i="1"/>
  <c r="H778" i="1"/>
  <c r="Y778" i="1" s="1"/>
  <c r="G778" i="1"/>
  <c r="F778" i="1"/>
  <c r="E778" i="1"/>
  <c r="D778" i="1"/>
  <c r="AB773" i="1"/>
  <c r="AA773" i="1"/>
  <c r="X773" i="1"/>
  <c r="W773" i="1"/>
  <c r="V773" i="1"/>
  <c r="U773" i="1"/>
  <c r="T773" i="1"/>
  <c r="S773" i="1"/>
  <c r="R773" i="1"/>
  <c r="Y773" i="1" s="1"/>
  <c r="Q773" i="1"/>
  <c r="P773" i="1"/>
  <c r="O773" i="1"/>
  <c r="N773" i="1"/>
  <c r="M773" i="1"/>
  <c r="L773" i="1"/>
  <c r="K773" i="1"/>
  <c r="J773" i="1"/>
  <c r="I773" i="1"/>
  <c r="G773" i="1"/>
  <c r="F773" i="1"/>
  <c r="E773" i="1"/>
  <c r="D773" i="1"/>
  <c r="R772" i="1"/>
  <c r="Y772" i="1" s="1"/>
  <c r="D772" i="1"/>
  <c r="AB771" i="1"/>
  <c r="AA771" i="1"/>
  <c r="Y771" i="1"/>
  <c r="Z771" i="1" s="1"/>
  <c r="X771" i="1"/>
  <c r="W771" i="1"/>
  <c r="V771" i="1"/>
  <c r="U771" i="1"/>
  <c r="T771" i="1"/>
  <c r="S771" i="1"/>
  <c r="Q771" i="1"/>
  <c r="P771" i="1"/>
  <c r="O771" i="1"/>
  <c r="N771" i="1"/>
  <c r="M771" i="1"/>
  <c r="L771" i="1"/>
  <c r="K771" i="1"/>
  <c r="J771" i="1"/>
  <c r="I771" i="1"/>
  <c r="G771" i="1"/>
  <c r="F771" i="1"/>
  <c r="E771" i="1"/>
  <c r="AB770" i="1"/>
  <c r="AA770" i="1"/>
  <c r="X770" i="1"/>
  <c r="W770" i="1"/>
  <c r="V770" i="1"/>
  <c r="U770" i="1"/>
  <c r="T770" i="1"/>
  <c r="S770" i="1"/>
  <c r="Q770" i="1"/>
  <c r="P770" i="1"/>
  <c r="O770" i="1"/>
  <c r="N770" i="1"/>
  <c r="M770" i="1"/>
  <c r="L770" i="1"/>
  <c r="K770" i="1"/>
  <c r="J770" i="1"/>
  <c r="I770" i="1"/>
  <c r="H770" i="1"/>
  <c r="Y770" i="1" s="1"/>
  <c r="G770" i="1"/>
  <c r="F770" i="1"/>
  <c r="E770" i="1"/>
  <c r="D770" i="1"/>
  <c r="H769" i="1"/>
  <c r="Y769" i="1" s="1"/>
  <c r="D769" i="1"/>
  <c r="H768" i="1"/>
  <c r="Y768" i="1" s="1"/>
  <c r="D768" i="1"/>
  <c r="H767" i="1"/>
  <c r="Y767" i="1" s="1"/>
  <c r="D767" i="1"/>
  <c r="H766" i="1"/>
  <c r="Y766" i="1" s="1"/>
  <c r="D766" i="1"/>
  <c r="H765" i="1"/>
  <c r="Y765" i="1" s="1"/>
  <c r="D765" i="1"/>
  <c r="AB764" i="1"/>
  <c r="AA764" i="1"/>
  <c r="X764" i="1"/>
  <c r="W764" i="1"/>
  <c r="V764" i="1"/>
  <c r="AO861" i="1" s="1"/>
  <c r="U764" i="1"/>
  <c r="T764" i="1"/>
  <c r="S764" i="1"/>
  <c r="Q764" i="1"/>
  <c r="P764" i="1"/>
  <c r="O764" i="1"/>
  <c r="N764" i="1"/>
  <c r="M764" i="1"/>
  <c r="L764" i="1"/>
  <c r="AJ861" i="1" s="1"/>
  <c r="K764" i="1"/>
  <c r="J764" i="1"/>
  <c r="I764" i="1"/>
  <c r="H764" i="1"/>
  <c r="Y764" i="1" s="1"/>
  <c r="G764" i="1"/>
  <c r="F764" i="1"/>
  <c r="E764" i="1"/>
  <c r="D764" i="1"/>
  <c r="H763" i="1"/>
  <c r="Y763" i="1" s="1"/>
  <c r="Z763" i="1" s="1"/>
  <c r="D763" i="1"/>
  <c r="H762" i="1"/>
  <c r="Y762" i="1" s="1"/>
  <c r="Z762" i="1" s="1"/>
  <c r="D762" i="1"/>
  <c r="AB761" i="1"/>
  <c r="AA761" i="1"/>
  <c r="Y761" i="1"/>
  <c r="Z761" i="1" s="1"/>
  <c r="X761" i="1"/>
  <c r="W761" i="1"/>
  <c r="V761" i="1"/>
  <c r="AO862" i="1" s="1"/>
  <c r="U761" i="1"/>
  <c r="T761" i="1"/>
  <c r="S761" i="1"/>
  <c r="Q761" i="1"/>
  <c r="P761" i="1"/>
  <c r="O761" i="1"/>
  <c r="N761" i="1"/>
  <c r="M761" i="1"/>
  <c r="L761" i="1"/>
  <c r="AJ862" i="1" s="1"/>
  <c r="K761" i="1"/>
  <c r="J761" i="1"/>
  <c r="I761" i="1"/>
  <c r="G761" i="1"/>
  <c r="F761" i="1"/>
  <c r="E761" i="1"/>
  <c r="H760" i="1"/>
  <c r="Y760" i="1" s="1"/>
  <c r="D760" i="1"/>
  <c r="H759" i="1"/>
  <c r="Y759" i="1" s="1"/>
  <c r="D759" i="1"/>
  <c r="AB758" i="1"/>
  <c r="AA758" i="1"/>
  <c r="X758" i="1"/>
  <c r="W758" i="1"/>
  <c r="V758" i="1"/>
  <c r="U758" i="1"/>
  <c r="T758" i="1"/>
  <c r="S758" i="1"/>
  <c r="Q758" i="1"/>
  <c r="P758" i="1"/>
  <c r="O758" i="1"/>
  <c r="N758" i="1"/>
  <c r="M758" i="1"/>
  <c r="L758" i="1"/>
  <c r="K758" i="1"/>
  <c r="J758" i="1"/>
  <c r="I758" i="1"/>
  <c r="H758" i="1"/>
  <c r="Y758" i="1" s="1"/>
  <c r="G758" i="1"/>
  <c r="F758" i="1"/>
  <c r="E758" i="1"/>
  <c r="D758" i="1"/>
  <c r="AB757" i="1"/>
  <c r="AA757" i="1"/>
  <c r="X757" i="1"/>
  <c r="W757" i="1"/>
  <c r="V757" i="1"/>
  <c r="U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AB747" i="1"/>
  <c r="AA747" i="1"/>
  <c r="X747" i="1"/>
  <c r="W747" i="1"/>
  <c r="V747" i="1"/>
  <c r="U747" i="1"/>
  <c r="T747" i="1"/>
  <c r="S747" i="1"/>
  <c r="R747" i="1"/>
  <c r="Y747" i="1" s="1"/>
  <c r="Q747" i="1"/>
  <c r="P747" i="1"/>
  <c r="O747" i="1"/>
  <c r="N747" i="1"/>
  <c r="M747" i="1"/>
  <c r="L747" i="1"/>
  <c r="K747" i="1"/>
  <c r="J747" i="1"/>
  <c r="I747" i="1"/>
  <c r="G747" i="1"/>
  <c r="F747" i="1"/>
  <c r="E747" i="1"/>
  <c r="D747" i="1"/>
  <c r="AF750" i="1" s="1"/>
  <c r="AB746" i="1"/>
  <c r="AA746" i="1"/>
  <c r="X746" i="1"/>
  <c r="W746" i="1"/>
  <c r="V746" i="1"/>
  <c r="U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AB745" i="1"/>
  <c r="AA745" i="1"/>
  <c r="X745" i="1"/>
  <c r="W745" i="1"/>
  <c r="V745" i="1"/>
  <c r="U745" i="1"/>
  <c r="T745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AB744" i="1"/>
  <c r="AA744" i="1"/>
  <c r="X744" i="1"/>
  <c r="W744" i="1"/>
  <c r="V744" i="1"/>
  <c r="U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G744" i="1"/>
  <c r="F744" i="1"/>
  <c r="E744" i="1"/>
  <c r="D744" i="1"/>
  <c r="AB736" i="1"/>
  <c r="AA736" i="1"/>
  <c r="X736" i="1"/>
  <c r="W736" i="1"/>
  <c r="V736" i="1"/>
  <c r="U736" i="1"/>
  <c r="T736" i="1"/>
  <c r="S736" i="1"/>
  <c r="R736" i="1"/>
  <c r="Y736" i="1" s="1"/>
  <c r="Q736" i="1"/>
  <c r="P736" i="1"/>
  <c r="O736" i="1"/>
  <c r="N736" i="1"/>
  <c r="M736" i="1"/>
  <c r="L736" i="1"/>
  <c r="K736" i="1"/>
  <c r="J736" i="1"/>
  <c r="I736" i="1"/>
  <c r="G736" i="1"/>
  <c r="F736" i="1"/>
  <c r="E736" i="1"/>
  <c r="D736" i="1"/>
  <c r="AB735" i="1"/>
  <c r="AA735" i="1"/>
  <c r="X735" i="1"/>
  <c r="W735" i="1"/>
  <c r="V735" i="1"/>
  <c r="U735" i="1"/>
  <c r="T735" i="1"/>
  <c r="S735" i="1"/>
  <c r="R735" i="1"/>
  <c r="Y735" i="1" s="1"/>
  <c r="Q735" i="1"/>
  <c r="P735" i="1"/>
  <c r="O735" i="1"/>
  <c r="N735" i="1"/>
  <c r="M735" i="1"/>
  <c r="L735" i="1"/>
  <c r="K735" i="1"/>
  <c r="J735" i="1"/>
  <c r="I735" i="1"/>
  <c r="G735" i="1"/>
  <c r="F735" i="1"/>
  <c r="E735" i="1"/>
  <c r="D735" i="1"/>
  <c r="H734" i="1"/>
  <c r="Y734" i="1" s="1"/>
  <c r="D734" i="1"/>
  <c r="AB733" i="1"/>
  <c r="AA733" i="1"/>
  <c r="X733" i="1"/>
  <c r="W733" i="1"/>
  <c r="V733" i="1"/>
  <c r="U733" i="1"/>
  <c r="T733" i="1"/>
  <c r="S733" i="1"/>
  <c r="Q733" i="1"/>
  <c r="P733" i="1"/>
  <c r="O733" i="1"/>
  <c r="N733" i="1"/>
  <c r="M733" i="1"/>
  <c r="L733" i="1"/>
  <c r="K733" i="1"/>
  <c r="J733" i="1"/>
  <c r="I733" i="1"/>
  <c r="H733" i="1"/>
  <c r="Y733" i="1" s="1"/>
  <c r="G733" i="1"/>
  <c r="F733" i="1"/>
  <c r="E733" i="1"/>
  <c r="D733" i="1"/>
  <c r="AB732" i="1"/>
  <c r="AA732" i="1"/>
  <c r="X732" i="1"/>
  <c r="W732" i="1"/>
  <c r="V732" i="1"/>
  <c r="U732" i="1"/>
  <c r="T732" i="1"/>
  <c r="S732" i="1"/>
  <c r="Q732" i="1"/>
  <c r="P732" i="1"/>
  <c r="O732" i="1"/>
  <c r="N732" i="1"/>
  <c r="M732" i="1"/>
  <c r="L732" i="1"/>
  <c r="K732" i="1"/>
  <c r="J732" i="1"/>
  <c r="I732" i="1"/>
  <c r="H732" i="1"/>
  <c r="Y732" i="1" s="1"/>
  <c r="G732" i="1"/>
  <c r="F732" i="1"/>
  <c r="E732" i="1"/>
  <c r="D732" i="1"/>
  <c r="D731" i="1"/>
  <c r="H731" i="1" s="1"/>
  <c r="Y731" i="1" s="1"/>
  <c r="Z731" i="1" s="1"/>
  <c r="H730" i="1"/>
  <c r="D730" i="1"/>
  <c r="AB729" i="1"/>
  <c r="AA729" i="1"/>
  <c r="X729" i="1"/>
  <c r="W729" i="1"/>
  <c r="V729" i="1"/>
  <c r="U729" i="1"/>
  <c r="T729" i="1"/>
  <c r="S729" i="1"/>
  <c r="Q729" i="1"/>
  <c r="P729" i="1"/>
  <c r="O729" i="1"/>
  <c r="N729" i="1"/>
  <c r="M729" i="1"/>
  <c r="L729" i="1"/>
  <c r="K729" i="1"/>
  <c r="J729" i="1"/>
  <c r="I729" i="1"/>
  <c r="H729" i="1"/>
  <c r="Y729" i="1" s="1"/>
  <c r="G729" i="1"/>
  <c r="F729" i="1"/>
  <c r="E729" i="1"/>
  <c r="D729" i="1"/>
  <c r="Y728" i="1"/>
  <c r="D728" i="1"/>
  <c r="AB727" i="1"/>
  <c r="AA727" i="1"/>
  <c r="X727" i="1"/>
  <c r="W727" i="1"/>
  <c r="V727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AB722" i="1"/>
  <c r="AA722" i="1"/>
  <c r="Y722" i="1"/>
  <c r="X722" i="1"/>
  <c r="W722" i="1"/>
  <c r="V722" i="1"/>
  <c r="U722" i="1"/>
  <c r="T722" i="1"/>
  <c r="S722" i="1"/>
  <c r="Q722" i="1"/>
  <c r="P722" i="1"/>
  <c r="O722" i="1"/>
  <c r="N722" i="1"/>
  <c r="M722" i="1"/>
  <c r="L722" i="1"/>
  <c r="K722" i="1"/>
  <c r="J722" i="1"/>
  <c r="I722" i="1"/>
  <c r="G722" i="1"/>
  <c r="F722" i="1"/>
  <c r="E722" i="1"/>
  <c r="D722" i="1"/>
  <c r="H721" i="1"/>
  <c r="Y721" i="1" s="1"/>
  <c r="D721" i="1"/>
  <c r="AB720" i="1"/>
  <c r="AA720" i="1"/>
  <c r="Y720" i="1"/>
  <c r="X720" i="1"/>
  <c r="W720" i="1"/>
  <c r="V720" i="1"/>
  <c r="AO746" i="1" s="1"/>
  <c r="U720" i="1"/>
  <c r="T720" i="1"/>
  <c r="S720" i="1"/>
  <c r="Q720" i="1"/>
  <c r="P720" i="1"/>
  <c r="AM746" i="1" s="1"/>
  <c r="O720" i="1"/>
  <c r="N720" i="1"/>
  <c r="M720" i="1"/>
  <c r="L720" i="1"/>
  <c r="AJ746" i="1" s="1"/>
  <c r="K720" i="1"/>
  <c r="J720" i="1"/>
  <c r="I720" i="1"/>
  <c r="G720" i="1"/>
  <c r="F720" i="1"/>
  <c r="AH746" i="1" s="1"/>
  <c r="E720" i="1"/>
  <c r="AG746" i="1" s="1"/>
  <c r="D720" i="1"/>
  <c r="AF746" i="1" s="1"/>
  <c r="H719" i="1"/>
  <c r="Y719" i="1" s="1"/>
  <c r="D719" i="1"/>
  <c r="AB718" i="1"/>
  <c r="AA718" i="1"/>
  <c r="X718" i="1"/>
  <c r="W718" i="1"/>
  <c r="V718" i="1"/>
  <c r="U718" i="1"/>
  <c r="T718" i="1"/>
  <c r="S718" i="1"/>
  <c r="R718" i="1"/>
  <c r="R724" i="1" s="1"/>
  <c r="Q718" i="1"/>
  <c r="P718" i="1"/>
  <c r="O718" i="1"/>
  <c r="N718" i="1"/>
  <c r="M718" i="1"/>
  <c r="L718" i="1"/>
  <c r="K718" i="1"/>
  <c r="K724" i="1" s="1"/>
  <c r="J718" i="1"/>
  <c r="I718" i="1"/>
  <c r="H718" i="1"/>
  <c r="G718" i="1"/>
  <c r="F718" i="1"/>
  <c r="E718" i="1"/>
  <c r="D718" i="1"/>
  <c r="AB713" i="1"/>
  <c r="AA713" i="1"/>
  <c r="X713" i="1"/>
  <c r="W713" i="1"/>
  <c r="V713" i="1"/>
  <c r="U713" i="1"/>
  <c r="T713" i="1"/>
  <c r="S713" i="1"/>
  <c r="R713" i="1"/>
  <c r="Y713" i="1" s="1"/>
  <c r="Q713" i="1"/>
  <c r="P713" i="1"/>
  <c r="O713" i="1"/>
  <c r="N713" i="1"/>
  <c r="M713" i="1"/>
  <c r="L713" i="1"/>
  <c r="K713" i="1"/>
  <c r="J713" i="1"/>
  <c r="I713" i="1"/>
  <c r="G713" i="1"/>
  <c r="F713" i="1"/>
  <c r="E713" i="1"/>
  <c r="D713" i="1"/>
  <c r="AB712" i="1"/>
  <c r="AA712" i="1"/>
  <c r="Y712" i="1"/>
  <c r="X712" i="1"/>
  <c r="W712" i="1"/>
  <c r="V712" i="1"/>
  <c r="U712" i="1"/>
  <c r="T712" i="1"/>
  <c r="S712" i="1"/>
  <c r="Q712" i="1"/>
  <c r="P712" i="1"/>
  <c r="O712" i="1"/>
  <c r="N712" i="1"/>
  <c r="M712" i="1"/>
  <c r="L712" i="1"/>
  <c r="K712" i="1"/>
  <c r="J712" i="1"/>
  <c r="I712" i="1"/>
  <c r="G712" i="1"/>
  <c r="F712" i="1"/>
  <c r="E712" i="1"/>
  <c r="D712" i="1"/>
  <c r="H711" i="1"/>
  <c r="Y711" i="1" s="1"/>
  <c r="D711" i="1"/>
  <c r="H710" i="1"/>
  <c r="Y710" i="1" s="1"/>
  <c r="D710" i="1"/>
  <c r="H709" i="1"/>
  <c r="Y709" i="1" s="1"/>
  <c r="D709" i="1"/>
  <c r="AB708" i="1"/>
  <c r="AA708" i="1"/>
  <c r="X708" i="1"/>
  <c r="W708" i="1"/>
  <c r="V708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G708" i="1"/>
  <c r="F708" i="1"/>
  <c r="E708" i="1"/>
  <c r="D708" i="1"/>
  <c r="AB707" i="1"/>
  <c r="AA707" i="1"/>
  <c r="X707" i="1"/>
  <c r="W707" i="1"/>
  <c r="V707" i="1"/>
  <c r="U707" i="1"/>
  <c r="T707" i="1"/>
  <c r="S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AB706" i="1"/>
  <c r="AA706" i="1"/>
  <c r="Y706" i="1"/>
  <c r="Z706" i="1" s="1"/>
  <c r="X706" i="1"/>
  <c r="W706" i="1"/>
  <c r="V706" i="1"/>
  <c r="U706" i="1"/>
  <c r="T706" i="1"/>
  <c r="S706" i="1"/>
  <c r="Q706" i="1"/>
  <c r="P706" i="1"/>
  <c r="O706" i="1"/>
  <c r="N706" i="1"/>
  <c r="M706" i="1"/>
  <c r="L706" i="1"/>
  <c r="K706" i="1"/>
  <c r="J706" i="1"/>
  <c r="I706" i="1"/>
  <c r="G706" i="1"/>
  <c r="F706" i="1"/>
  <c r="E706" i="1"/>
  <c r="AB701" i="1"/>
  <c r="AA701" i="1"/>
  <c r="X701" i="1"/>
  <c r="W701" i="1"/>
  <c r="V701" i="1"/>
  <c r="AO749" i="1" s="1"/>
  <c r="U701" i="1"/>
  <c r="T701" i="1"/>
  <c r="S701" i="1"/>
  <c r="R701" i="1"/>
  <c r="Y701" i="1" s="1"/>
  <c r="Q701" i="1"/>
  <c r="P701" i="1"/>
  <c r="O701" i="1"/>
  <c r="N701" i="1"/>
  <c r="M701" i="1"/>
  <c r="L701" i="1"/>
  <c r="K701" i="1"/>
  <c r="J701" i="1"/>
  <c r="I701" i="1"/>
  <c r="G701" i="1"/>
  <c r="F701" i="1"/>
  <c r="E701" i="1"/>
  <c r="D701" i="1"/>
  <c r="AB700" i="1"/>
  <c r="AA700" i="1"/>
  <c r="X700" i="1"/>
  <c r="W700" i="1"/>
  <c r="V700" i="1"/>
  <c r="U700" i="1"/>
  <c r="T700" i="1"/>
  <c r="S700" i="1"/>
  <c r="R700" i="1"/>
  <c r="Y700" i="1" s="1"/>
  <c r="Q700" i="1"/>
  <c r="P700" i="1"/>
  <c r="AM748" i="1" s="1"/>
  <c r="O700" i="1"/>
  <c r="N700" i="1"/>
  <c r="M700" i="1"/>
  <c r="L700" i="1"/>
  <c r="AJ748" i="1" s="1"/>
  <c r="K700" i="1"/>
  <c r="J700" i="1"/>
  <c r="I700" i="1"/>
  <c r="G700" i="1"/>
  <c r="F700" i="1"/>
  <c r="E700" i="1"/>
  <c r="D700" i="1"/>
  <c r="AB699" i="1"/>
  <c r="AA699" i="1"/>
  <c r="X699" i="1"/>
  <c r="W699" i="1"/>
  <c r="V699" i="1"/>
  <c r="U699" i="1"/>
  <c r="T699" i="1"/>
  <c r="S699" i="1"/>
  <c r="Q699" i="1"/>
  <c r="P699" i="1"/>
  <c r="O699" i="1"/>
  <c r="N699" i="1"/>
  <c r="M699" i="1"/>
  <c r="L699" i="1"/>
  <c r="K699" i="1"/>
  <c r="J699" i="1"/>
  <c r="I699" i="1"/>
  <c r="H699" i="1"/>
  <c r="Y699" i="1" s="1"/>
  <c r="G699" i="1"/>
  <c r="F699" i="1"/>
  <c r="E699" i="1"/>
  <c r="D699" i="1"/>
  <c r="AB698" i="1"/>
  <c r="AA698" i="1"/>
  <c r="X698" i="1"/>
  <c r="W698" i="1"/>
  <c r="V698" i="1"/>
  <c r="U698" i="1"/>
  <c r="T698" i="1"/>
  <c r="S698" i="1"/>
  <c r="Q698" i="1"/>
  <c r="P698" i="1"/>
  <c r="O698" i="1"/>
  <c r="N698" i="1"/>
  <c r="M698" i="1"/>
  <c r="L698" i="1"/>
  <c r="K698" i="1"/>
  <c r="J698" i="1"/>
  <c r="I698" i="1"/>
  <c r="H698" i="1"/>
  <c r="Y698" i="1" s="1"/>
  <c r="G698" i="1"/>
  <c r="F698" i="1"/>
  <c r="E698" i="1"/>
  <c r="D698" i="1"/>
  <c r="AB697" i="1"/>
  <c r="AA697" i="1"/>
  <c r="X697" i="1"/>
  <c r="W697" i="1"/>
  <c r="V697" i="1"/>
  <c r="V703" i="1" s="1"/>
  <c r="U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AB692" i="1"/>
  <c r="AA692" i="1"/>
  <c r="Y692" i="1"/>
  <c r="Z692" i="1" s="1"/>
  <c r="X692" i="1"/>
  <c r="W692" i="1"/>
  <c r="V692" i="1"/>
  <c r="U692" i="1"/>
  <c r="T692" i="1"/>
  <c r="S692" i="1"/>
  <c r="Q692" i="1"/>
  <c r="P692" i="1"/>
  <c r="O692" i="1"/>
  <c r="N692" i="1"/>
  <c r="M692" i="1"/>
  <c r="L692" i="1"/>
  <c r="K692" i="1"/>
  <c r="J692" i="1"/>
  <c r="I692" i="1"/>
  <c r="G692" i="1"/>
  <c r="F692" i="1"/>
  <c r="E692" i="1"/>
  <c r="AB691" i="1"/>
  <c r="AA691" i="1"/>
  <c r="X691" i="1"/>
  <c r="W691" i="1"/>
  <c r="V691" i="1"/>
  <c r="U691" i="1"/>
  <c r="T691" i="1"/>
  <c r="S691" i="1"/>
  <c r="R691" i="1"/>
  <c r="Y691" i="1" s="1"/>
  <c r="Q691" i="1"/>
  <c r="P691" i="1"/>
  <c r="O691" i="1"/>
  <c r="N691" i="1"/>
  <c r="M691" i="1"/>
  <c r="L691" i="1"/>
  <c r="K691" i="1"/>
  <c r="J691" i="1"/>
  <c r="I691" i="1"/>
  <c r="G691" i="1"/>
  <c r="F691" i="1"/>
  <c r="E691" i="1"/>
  <c r="D691" i="1"/>
  <c r="H690" i="1"/>
  <c r="Y690" i="1" s="1"/>
  <c r="D690" i="1"/>
  <c r="AB689" i="1"/>
  <c r="AA689" i="1"/>
  <c r="X689" i="1"/>
  <c r="W689" i="1"/>
  <c r="V689" i="1"/>
  <c r="AO732" i="1" s="1"/>
  <c r="U689" i="1"/>
  <c r="T689" i="1"/>
  <c r="S689" i="1"/>
  <c r="Q689" i="1"/>
  <c r="P689" i="1"/>
  <c r="O689" i="1"/>
  <c r="N689" i="1"/>
  <c r="M689" i="1"/>
  <c r="L689" i="1"/>
  <c r="K689" i="1"/>
  <c r="J689" i="1"/>
  <c r="I689" i="1"/>
  <c r="H689" i="1"/>
  <c r="Y689" i="1" s="1"/>
  <c r="G689" i="1"/>
  <c r="F689" i="1"/>
  <c r="E689" i="1"/>
  <c r="AG732" i="1" s="1"/>
  <c r="D689" i="1"/>
  <c r="H688" i="1"/>
  <c r="Y688" i="1" s="1"/>
  <c r="D688" i="1"/>
  <c r="H687" i="1"/>
  <c r="Y687" i="1" s="1"/>
  <c r="D687" i="1"/>
  <c r="H686" i="1"/>
  <c r="Y686" i="1" s="1"/>
  <c r="D686" i="1"/>
  <c r="AB685" i="1"/>
  <c r="AA685" i="1"/>
  <c r="X685" i="1"/>
  <c r="W685" i="1"/>
  <c r="V685" i="1"/>
  <c r="U685" i="1"/>
  <c r="T685" i="1"/>
  <c r="S685" i="1"/>
  <c r="Q685" i="1"/>
  <c r="P685" i="1"/>
  <c r="O685" i="1"/>
  <c r="N685" i="1"/>
  <c r="M685" i="1"/>
  <c r="L685" i="1"/>
  <c r="K685" i="1"/>
  <c r="J685" i="1"/>
  <c r="I685" i="1"/>
  <c r="H685" i="1"/>
  <c r="Y685" i="1" s="1"/>
  <c r="G685" i="1"/>
  <c r="F685" i="1"/>
  <c r="E685" i="1"/>
  <c r="D685" i="1"/>
  <c r="AB684" i="1"/>
  <c r="AA684" i="1"/>
  <c r="X684" i="1"/>
  <c r="W684" i="1"/>
  <c r="V684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AB679" i="1"/>
  <c r="AA679" i="1"/>
  <c r="Y679" i="1"/>
  <c r="X679" i="1"/>
  <c r="W679" i="1"/>
  <c r="V679" i="1"/>
  <c r="U679" i="1"/>
  <c r="T679" i="1"/>
  <c r="S679" i="1"/>
  <c r="Q679" i="1"/>
  <c r="P679" i="1"/>
  <c r="O679" i="1"/>
  <c r="N679" i="1"/>
  <c r="M679" i="1"/>
  <c r="L679" i="1"/>
  <c r="K679" i="1"/>
  <c r="J679" i="1"/>
  <c r="I679" i="1"/>
  <c r="G679" i="1"/>
  <c r="F679" i="1"/>
  <c r="E679" i="1"/>
  <c r="AB678" i="1"/>
  <c r="AA678" i="1"/>
  <c r="Y678" i="1"/>
  <c r="X678" i="1"/>
  <c r="W678" i="1"/>
  <c r="V678" i="1"/>
  <c r="U678" i="1"/>
  <c r="T678" i="1"/>
  <c r="S678" i="1"/>
  <c r="Q678" i="1"/>
  <c r="P678" i="1"/>
  <c r="O678" i="1"/>
  <c r="N678" i="1"/>
  <c r="M678" i="1"/>
  <c r="L678" i="1"/>
  <c r="K678" i="1"/>
  <c r="J678" i="1"/>
  <c r="I678" i="1"/>
  <c r="G678" i="1"/>
  <c r="F678" i="1"/>
  <c r="E678" i="1"/>
  <c r="AB677" i="1"/>
  <c r="AA677" i="1"/>
  <c r="Z677" i="1"/>
  <c r="X677" i="1"/>
  <c r="W677" i="1"/>
  <c r="V677" i="1"/>
  <c r="U677" i="1"/>
  <c r="T677" i="1"/>
  <c r="S677" i="1"/>
  <c r="Q677" i="1"/>
  <c r="P677" i="1"/>
  <c r="O677" i="1"/>
  <c r="N677" i="1"/>
  <c r="M677" i="1"/>
  <c r="L677" i="1"/>
  <c r="K677" i="1"/>
  <c r="J677" i="1"/>
  <c r="I677" i="1"/>
  <c r="H677" i="1"/>
  <c r="Y677" i="1" s="1"/>
  <c r="G677" i="1"/>
  <c r="F677" i="1"/>
  <c r="E677" i="1"/>
  <c r="D677" i="1"/>
  <c r="AB676" i="1"/>
  <c r="AA676" i="1"/>
  <c r="Z676" i="1"/>
  <c r="Y676" i="1"/>
  <c r="X676" i="1"/>
  <c r="W676" i="1"/>
  <c r="V676" i="1"/>
  <c r="AO745" i="1" s="1"/>
  <c r="U676" i="1"/>
  <c r="T676" i="1"/>
  <c r="S676" i="1"/>
  <c r="Q676" i="1"/>
  <c r="P676" i="1"/>
  <c r="AM745" i="1" s="1"/>
  <c r="O676" i="1"/>
  <c r="N676" i="1"/>
  <c r="M676" i="1"/>
  <c r="L676" i="1"/>
  <c r="AJ745" i="1" s="1"/>
  <c r="K676" i="1"/>
  <c r="J676" i="1"/>
  <c r="I676" i="1"/>
  <c r="H676" i="1"/>
  <c r="G676" i="1"/>
  <c r="F676" i="1"/>
  <c r="AH745" i="1" s="1"/>
  <c r="E676" i="1"/>
  <c r="AG745" i="1" s="1"/>
  <c r="AI745" i="1" s="1"/>
  <c r="D676" i="1"/>
  <c r="AF745" i="1" s="1"/>
  <c r="H675" i="1"/>
  <c r="Y675" i="1" s="1"/>
  <c r="D675" i="1"/>
  <c r="AB674" i="1"/>
  <c r="AA674" i="1"/>
  <c r="Z674" i="1"/>
  <c r="Y674" i="1"/>
  <c r="X674" i="1"/>
  <c r="W674" i="1"/>
  <c r="V674" i="1"/>
  <c r="U674" i="1"/>
  <c r="T674" i="1"/>
  <c r="S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AB673" i="1"/>
  <c r="AA673" i="1"/>
  <c r="Z673" i="1"/>
  <c r="Y673" i="1"/>
  <c r="X673" i="1"/>
  <c r="W673" i="1"/>
  <c r="V673" i="1"/>
  <c r="U673" i="1"/>
  <c r="T673" i="1"/>
  <c r="S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AB672" i="1"/>
  <c r="AA672" i="1"/>
  <c r="X672" i="1"/>
  <c r="W672" i="1"/>
  <c r="V672" i="1"/>
  <c r="V681" i="1" s="1"/>
  <c r="U672" i="1"/>
  <c r="T672" i="1"/>
  <c r="S672" i="1"/>
  <c r="R672" i="1"/>
  <c r="R681" i="1" s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AB666" i="1"/>
  <c r="AA666" i="1"/>
  <c r="X666" i="1"/>
  <c r="W666" i="1"/>
  <c r="V666" i="1"/>
  <c r="U666" i="1"/>
  <c r="T666" i="1"/>
  <c r="S666" i="1"/>
  <c r="R666" i="1"/>
  <c r="Y666" i="1" s="1"/>
  <c r="Q666" i="1"/>
  <c r="P666" i="1"/>
  <c r="O666" i="1"/>
  <c r="N666" i="1"/>
  <c r="M666" i="1"/>
  <c r="L666" i="1"/>
  <c r="K666" i="1"/>
  <c r="J666" i="1"/>
  <c r="I666" i="1"/>
  <c r="G666" i="1"/>
  <c r="F666" i="1"/>
  <c r="E666" i="1"/>
  <c r="D666" i="1"/>
  <c r="AF737" i="1" s="1"/>
  <c r="AB665" i="1"/>
  <c r="AA665" i="1"/>
  <c r="Y665" i="1"/>
  <c r="X665" i="1"/>
  <c r="W665" i="1"/>
  <c r="V665" i="1"/>
  <c r="U665" i="1"/>
  <c r="T665" i="1"/>
  <c r="S665" i="1"/>
  <c r="Q665" i="1"/>
  <c r="P665" i="1"/>
  <c r="O665" i="1"/>
  <c r="N665" i="1"/>
  <c r="M665" i="1"/>
  <c r="L665" i="1"/>
  <c r="K665" i="1"/>
  <c r="J665" i="1"/>
  <c r="I665" i="1"/>
  <c r="G665" i="1"/>
  <c r="F665" i="1"/>
  <c r="E665" i="1"/>
  <c r="D665" i="1"/>
  <c r="AB664" i="1"/>
  <c r="AA664" i="1"/>
  <c r="X664" i="1"/>
  <c r="W664" i="1"/>
  <c r="V664" i="1"/>
  <c r="U664" i="1"/>
  <c r="T664" i="1"/>
  <c r="S664" i="1"/>
  <c r="Q664" i="1"/>
  <c r="P664" i="1"/>
  <c r="O664" i="1"/>
  <c r="N664" i="1"/>
  <c r="M664" i="1"/>
  <c r="L664" i="1"/>
  <c r="K664" i="1"/>
  <c r="J664" i="1"/>
  <c r="I664" i="1"/>
  <c r="H664" i="1"/>
  <c r="Y664" i="1" s="1"/>
  <c r="G664" i="1"/>
  <c r="F664" i="1"/>
  <c r="E664" i="1"/>
  <c r="D664" i="1"/>
  <c r="H663" i="1"/>
  <c r="Y663" i="1" s="1"/>
  <c r="D663" i="1"/>
  <c r="H662" i="1"/>
  <c r="Y662" i="1" s="1"/>
  <c r="D662" i="1"/>
  <c r="AB661" i="1"/>
  <c r="AA661" i="1"/>
  <c r="X661" i="1"/>
  <c r="W661" i="1"/>
  <c r="V661" i="1"/>
  <c r="U661" i="1"/>
  <c r="T661" i="1"/>
  <c r="S661" i="1"/>
  <c r="Q661" i="1"/>
  <c r="P661" i="1"/>
  <c r="O661" i="1"/>
  <c r="N661" i="1"/>
  <c r="M661" i="1"/>
  <c r="L661" i="1"/>
  <c r="K661" i="1"/>
  <c r="J661" i="1"/>
  <c r="I661" i="1"/>
  <c r="H661" i="1"/>
  <c r="Y661" i="1" s="1"/>
  <c r="G661" i="1"/>
  <c r="F661" i="1"/>
  <c r="E661" i="1"/>
  <c r="D661" i="1"/>
  <c r="AB660" i="1"/>
  <c r="AA660" i="1"/>
  <c r="X660" i="1"/>
  <c r="W660" i="1"/>
  <c r="V660" i="1"/>
  <c r="U660" i="1"/>
  <c r="T660" i="1"/>
  <c r="S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AB659" i="1"/>
  <c r="AA659" i="1"/>
  <c r="X659" i="1"/>
  <c r="W659" i="1"/>
  <c r="V659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G659" i="1"/>
  <c r="F659" i="1"/>
  <c r="E659" i="1"/>
  <c r="D659" i="1"/>
  <c r="AB654" i="1"/>
  <c r="AA654" i="1"/>
  <c r="X654" i="1"/>
  <c r="W654" i="1"/>
  <c r="V654" i="1"/>
  <c r="AO747" i="1" s="1"/>
  <c r="U654" i="1"/>
  <c r="T654" i="1"/>
  <c r="S654" i="1"/>
  <c r="R654" i="1"/>
  <c r="Q654" i="1"/>
  <c r="P654" i="1"/>
  <c r="AM747" i="1" s="1"/>
  <c r="O654" i="1"/>
  <c r="AL747" i="1" s="1"/>
  <c r="N654" i="1"/>
  <c r="M654" i="1"/>
  <c r="L654" i="1"/>
  <c r="AJ747" i="1" s="1"/>
  <c r="K654" i="1"/>
  <c r="J654" i="1"/>
  <c r="I654" i="1"/>
  <c r="H654" i="1"/>
  <c r="G654" i="1"/>
  <c r="F654" i="1"/>
  <c r="AH747" i="1" s="1"/>
  <c r="E654" i="1"/>
  <c r="AG747" i="1" s="1"/>
  <c r="D654" i="1"/>
  <c r="AF747" i="1" s="1"/>
  <c r="AB653" i="1"/>
  <c r="AA653" i="1"/>
  <c r="X653" i="1"/>
  <c r="W653" i="1"/>
  <c r="V653" i="1"/>
  <c r="U653" i="1"/>
  <c r="T653" i="1"/>
  <c r="S653" i="1"/>
  <c r="R653" i="1"/>
  <c r="Y653" i="1" s="1"/>
  <c r="Q653" i="1"/>
  <c r="P653" i="1"/>
  <c r="O653" i="1"/>
  <c r="N653" i="1"/>
  <c r="M653" i="1"/>
  <c r="L653" i="1"/>
  <c r="K653" i="1"/>
  <c r="J653" i="1"/>
  <c r="I653" i="1"/>
  <c r="G653" i="1"/>
  <c r="F653" i="1"/>
  <c r="E653" i="1"/>
  <c r="D653" i="1"/>
  <c r="AB652" i="1"/>
  <c r="AA652" i="1"/>
  <c r="X652" i="1"/>
  <c r="W652" i="1"/>
  <c r="V652" i="1"/>
  <c r="U652" i="1"/>
  <c r="T652" i="1"/>
  <c r="S652" i="1"/>
  <c r="Q652" i="1"/>
  <c r="P652" i="1"/>
  <c r="O652" i="1"/>
  <c r="N652" i="1"/>
  <c r="M652" i="1"/>
  <c r="L652" i="1"/>
  <c r="K652" i="1"/>
  <c r="J652" i="1"/>
  <c r="I652" i="1"/>
  <c r="H652" i="1"/>
  <c r="Y652" i="1" s="1"/>
  <c r="G652" i="1"/>
  <c r="F652" i="1"/>
  <c r="E652" i="1"/>
  <c r="D652" i="1"/>
  <c r="H651" i="1"/>
  <c r="Y651" i="1" s="1"/>
  <c r="D651" i="1"/>
  <c r="H650" i="1"/>
  <c r="Y650" i="1" s="1"/>
  <c r="D650" i="1"/>
  <c r="AB649" i="1"/>
  <c r="AA649" i="1"/>
  <c r="X649" i="1"/>
  <c r="W649" i="1"/>
  <c r="V649" i="1"/>
  <c r="U649" i="1"/>
  <c r="T649" i="1"/>
  <c r="S649" i="1"/>
  <c r="Q649" i="1"/>
  <c r="P649" i="1"/>
  <c r="O649" i="1"/>
  <c r="N649" i="1"/>
  <c r="M649" i="1"/>
  <c r="L649" i="1"/>
  <c r="K649" i="1"/>
  <c r="J649" i="1"/>
  <c r="I649" i="1"/>
  <c r="H649" i="1"/>
  <c r="Y649" i="1" s="1"/>
  <c r="G649" i="1"/>
  <c r="F649" i="1"/>
  <c r="E649" i="1"/>
  <c r="D649" i="1"/>
  <c r="AB648" i="1"/>
  <c r="AA648" i="1"/>
  <c r="X648" i="1"/>
  <c r="W648" i="1"/>
  <c r="V648" i="1"/>
  <c r="U648" i="1"/>
  <c r="T648" i="1"/>
  <c r="S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AB647" i="1"/>
  <c r="AA647" i="1"/>
  <c r="Y647" i="1"/>
  <c r="X647" i="1"/>
  <c r="W647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G647" i="1"/>
  <c r="F647" i="1"/>
  <c r="E647" i="1"/>
  <c r="D647" i="1"/>
  <c r="AB642" i="1"/>
  <c r="AA642" i="1"/>
  <c r="Y642" i="1"/>
  <c r="Z642" i="1" s="1"/>
  <c r="X642" i="1"/>
  <c r="W642" i="1"/>
  <c r="V642" i="1"/>
  <c r="U642" i="1"/>
  <c r="T642" i="1"/>
  <c r="S642" i="1"/>
  <c r="Q642" i="1"/>
  <c r="P642" i="1"/>
  <c r="O642" i="1"/>
  <c r="N642" i="1"/>
  <c r="M642" i="1"/>
  <c r="L642" i="1"/>
  <c r="K642" i="1"/>
  <c r="J642" i="1"/>
  <c r="I642" i="1"/>
  <c r="G642" i="1"/>
  <c r="F642" i="1"/>
  <c r="E642" i="1"/>
  <c r="AB641" i="1"/>
  <c r="AA641" i="1"/>
  <c r="Y641" i="1"/>
  <c r="Z641" i="1" s="1"/>
  <c r="X641" i="1"/>
  <c r="W641" i="1"/>
  <c r="V641" i="1"/>
  <c r="U641" i="1"/>
  <c r="T641" i="1"/>
  <c r="S641" i="1"/>
  <c r="Q641" i="1"/>
  <c r="P641" i="1"/>
  <c r="O641" i="1"/>
  <c r="N641" i="1"/>
  <c r="M641" i="1"/>
  <c r="L641" i="1"/>
  <c r="K641" i="1"/>
  <c r="J641" i="1"/>
  <c r="I641" i="1"/>
  <c r="G641" i="1"/>
  <c r="F641" i="1"/>
  <c r="E641" i="1"/>
  <c r="H640" i="1"/>
  <c r="Y640" i="1" s="1"/>
  <c r="D640" i="1"/>
  <c r="AB639" i="1"/>
  <c r="AA639" i="1"/>
  <c r="X639" i="1"/>
  <c r="W639" i="1"/>
  <c r="V639" i="1"/>
  <c r="U639" i="1"/>
  <c r="T639" i="1"/>
  <c r="S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AH727" i="1" s="1"/>
  <c r="E639" i="1"/>
  <c r="D639" i="1"/>
  <c r="H638" i="1"/>
  <c r="Y638" i="1" s="1"/>
  <c r="D638" i="1"/>
  <c r="Z638" i="1" s="1"/>
  <c r="H637" i="1"/>
  <c r="Y637" i="1" s="1"/>
  <c r="D637" i="1"/>
  <c r="H636" i="1"/>
  <c r="Y636" i="1" s="1"/>
  <c r="D636" i="1"/>
  <c r="AB635" i="1"/>
  <c r="AA635" i="1"/>
  <c r="X635" i="1"/>
  <c r="W635" i="1"/>
  <c r="V635" i="1"/>
  <c r="U635" i="1"/>
  <c r="T635" i="1"/>
  <c r="S635" i="1"/>
  <c r="R635" i="1"/>
  <c r="Y635" i="1" s="1"/>
  <c r="Q635" i="1"/>
  <c r="P635" i="1"/>
  <c r="O635" i="1"/>
  <c r="N635" i="1"/>
  <c r="M635" i="1"/>
  <c r="L635" i="1"/>
  <c r="K635" i="1"/>
  <c r="J635" i="1"/>
  <c r="I635" i="1"/>
  <c r="G635" i="1"/>
  <c r="F635" i="1"/>
  <c r="E635" i="1"/>
  <c r="D635" i="1"/>
  <c r="AB634" i="1"/>
  <c r="AA634" i="1"/>
  <c r="Y634" i="1"/>
  <c r="Z634" i="1" s="1"/>
  <c r="X634" i="1"/>
  <c r="W634" i="1"/>
  <c r="V634" i="1"/>
  <c r="U634" i="1"/>
  <c r="T634" i="1"/>
  <c r="S634" i="1"/>
  <c r="Q634" i="1"/>
  <c r="P634" i="1"/>
  <c r="O634" i="1"/>
  <c r="N634" i="1"/>
  <c r="M634" i="1"/>
  <c r="L634" i="1"/>
  <c r="K634" i="1"/>
  <c r="J634" i="1"/>
  <c r="I634" i="1"/>
  <c r="G634" i="1"/>
  <c r="F634" i="1"/>
  <c r="E634" i="1"/>
  <c r="AB633" i="1"/>
  <c r="AA633" i="1"/>
  <c r="X633" i="1"/>
  <c r="W633" i="1"/>
  <c r="V633" i="1"/>
  <c r="U633" i="1"/>
  <c r="T633" i="1"/>
  <c r="S633" i="1"/>
  <c r="Q633" i="1"/>
  <c r="P633" i="1"/>
  <c r="O633" i="1"/>
  <c r="N633" i="1"/>
  <c r="M633" i="1"/>
  <c r="L633" i="1"/>
  <c r="K633" i="1"/>
  <c r="J633" i="1"/>
  <c r="I633" i="1"/>
  <c r="H633" i="1"/>
  <c r="Y633" i="1" s="1"/>
  <c r="G633" i="1"/>
  <c r="F633" i="1"/>
  <c r="E633" i="1"/>
  <c r="D633" i="1"/>
  <c r="AB632" i="1"/>
  <c r="AA632" i="1"/>
  <c r="X632" i="1"/>
  <c r="W632" i="1"/>
  <c r="V632" i="1"/>
  <c r="U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H627" i="1"/>
  <c r="Y627" i="1" s="1"/>
  <c r="D627" i="1"/>
  <c r="H626" i="1"/>
  <c r="Y626" i="1" s="1"/>
  <c r="D626" i="1"/>
  <c r="AB625" i="1"/>
  <c r="AA625" i="1"/>
  <c r="X625" i="1"/>
  <c r="W625" i="1"/>
  <c r="V625" i="1"/>
  <c r="AO743" i="1" s="1"/>
  <c r="U625" i="1"/>
  <c r="T625" i="1"/>
  <c r="S625" i="1"/>
  <c r="Q625" i="1"/>
  <c r="P625" i="1"/>
  <c r="AM743" i="1" s="1"/>
  <c r="O625" i="1"/>
  <c r="AL743" i="1" s="1"/>
  <c r="N625" i="1"/>
  <c r="M625" i="1"/>
  <c r="L625" i="1"/>
  <c r="AJ743" i="1" s="1"/>
  <c r="K625" i="1"/>
  <c r="J625" i="1"/>
  <c r="I625" i="1"/>
  <c r="H625" i="1"/>
  <c r="Y625" i="1" s="1"/>
  <c r="G625" i="1"/>
  <c r="F625" i="1"/>
  <c r="AH743" i="1" s="1"/>
  <c r="E625" i="1"/>
  <c r="AG743" i="1" s="1"/>
  <c r="D625" i="1"/>
  <c r="H624" i="1"/>
  <c r="Y624" i="1" s="1"/>
  <c r="D624" i="1"/>
  <c r="AB623" i="1"/>
  <c r="AA623" i="1"/>
  <c r="X623" i="1"/>
  <c r="W623" i="1"/>
  <c r="V623" i="1"/>
  <c r="U623" i="1"/>
  <c r="T623" i="1"/>
  <c r="S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AB622" i="1"/>
  <c r="AA622" i="1"/>
  <c r="X622" i="1"/>
  <c r="W622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G622" i="1"/>
  <c r="F622" i="1"/>
  <c r="E622" i="1"/>
  <c r="D622" i="1"/>
  <c r="R614" i="1"/>
  <c r="AB612" i="1"/>
  <c r="AA612" i="1"/>
  <c r="X612" i="1"/>
  <c r="W612" i="1"/>
  <c r="V612" i="1"/>
  <c r="U612" i="1"/>
  <c r="T612" i="1"/>
  <c r="S612" i="1"/>
  <c r="Q612" i="1"/>
  <c r="P612" i="1"/>
  <c r="O612" i="1"/>
  <c r="N612" i="1"/>
  <c r="M612" i="1"/>
  <c r="L612" i="1"/>
  <c r="K612" i="1"/>
  <c r="J612" i="1"/>
  <c r="I612" i="1"/>
  <c r="H612" i="1"/>
  <c r="Y612" i="1" s="1"/>
  <c r="G612" i="1"/>
  <c r="F612" i="1"/>
  <c r="E612" i="1"/>
  <c r="D612" i="1"/>
  <c r="H611" i="1"/>
  <c r="Y611" i="1" s="1"/>
  <c r="D611" i="1"/>
  <c r="H610" i="1"/>
  <c r="Y610" i="1" s="1"/>
  <c r="D610" i="1"/>
  <c r="H609" i="1"/>
  <c r="Y609" i="1" s="1"/>
  <c r="D609" i="1"/>
  <c r="H608" i="1"/>
  <c r="Y608" i="1" s="1"/>
  <c r="D608" i="1"/>
  <c r="AB607" i="1"/>
  <c r="AA607" i="1"/>
  <c r="X607" i="1"/>
  <c r="W607" i="1"/>
  <c r="V607" i="1"/>
  <c r="U607" i="1"/>
  <c r="T607" i="1"/>
  <c r="S607" i="1"/>
  <c r="S614" i="1" s="1"/>
  <c r="Q607" i="1"/>
  <c r="P607" i="1"/>
  <c r="O607" i="1"/>
  <c r="N607" i="1"/>
  <c r="N614" i="1" s="1"/>
  <c r="M607" i="1"/>
  <c r="L607" i="1"/>
  <c r="K607" i="1"/>
  <c r="J607" i="1"/>
  <c r="J614" i="1" s="1"/>
  <c r="I607" i="1"/>
  <c r="H607" i="1"/>
  <c r="G607" i="1"/>
  <c r="F607" i="1"/>
  <c r="F614" i="1" s="1"/>
  <c r="E607" i="1"/>
  <c r="D607" i="1"/>
  <c r="AF604" i="1"/>
  <c r="AF603" i="1"/>
  <c r="AB603" i="1"/>
  <c r="AA603" i="1"/>
  <c r="X603" i="1"/>
  <c r="W603" i="1"/>
  <c r="V603" i="1"/>
  <c r="U603" i="1"/>
  <c r="T603" i="1"/>
  <c r="S603" i="1"/>
  <c r="R603" i="1"/>
  <c r="Y603" i="1" s="1"/>
  <c r="Q603" i="1"/>
  <c r="P603" i="1"/>
  <c r="O603" i="1"/>
  <c r="N603" i="1"/>
  <c r="M603" i="1"/>
  <c r="L603" i="1"/>
  <c r="K603" i="1"/>
  <c r="J603" i="1"/>
  <c r="I603" i="1"/>
  <c r="G603" i="1"/>
  <c r="F603" i="1"/>
  <c r="E603" i="1"/>
  <c r="D603" i="1"/>
  <c r="AB602" i="1"/>
  <c r="AA602" i="1"/>
  <c r="Y602" i="1"/>
  <c r="Z602" i="1" s="1"/>
  <c r="X602" i="1"/>
  <c r="W602" i="1"/>
  <c r="V602" i="1"/>
  <c r="U602" i="1"/>
  <c r="T602" i="1"/>
  <c r="S602" i="1"/>
  <c r="Q602" i="1"/>
  <c r="P602" i="1"/>
  <c r="O602" i="1"/>
  <c r="N602" i="1"/>
  <c r="M602" i="1"/>
  <c r="L602" i="1"/>
  <c r="K602" i="1"/>
  <c r="J602" i="1"/>
  <c r="I602" i="1"/>
  <c r="G602" i="1"/>
  <c r="F602" i="1"/>
  <c r="E602" i="1"/>
  <c r="AB601" i="1"/>
  <c r="AA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G601" i="1"/>
  <c r="F601" i="1"/>
  <c r="E601" i="1"/>
  <c r="D601" i="1"/>
  <c r="AB600" i="1"/>
  <c r="AA600" i="1"/>
  <c r="X600" i="1"/>
  <c r="W600" i="1"/>
  <c r="V600" i="1"/>
  <c r="U600" i="1"/>
  <c r="T600" i="1"/>
  <c r="S600" i="1"/>
  <c r="Q600" i="1"/>
  <c r="P600" i="1"/>
  <c r="O600" i="1"/>
  <c r="N600" i="1"/>
  <c r="M600" i="1"/>
  <c r="L600" i="1"/>
  <c r="K600" i="1"/>
  <c r="J600" i="1"/>
  <c r="I600" i="1"/>
  <c r="H600" i="1"/>
  <c r="Y600" i="1" s="1"/>
  <c r="G600" i="1"/>
  <c r="F600" i="1"/>
  <c r="E600" i="1"/>
  <c r="D600" i="1"/>
  <c r="AB599" i="1"/>
  <c r="AA599" i="1"/>
  <c r="X599" i="1"/>
  <c r="W599" i="1"/>
  <c r="V599" i="1"/>
  <c r="U599" i="1"/>
  <c r="T599" i="1"/>
  <c r="S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R596" i="1"/>
  <c r="AB594" i="1"/>
  <c r="AA594" i="1"/>
  <c r="Y594" i="1"/>
  <c r="Z594" i="1" s="1"/>
  <c r="X594" i="1"/>
  <c r="W594" i="1"/>
  <c r="V594" i="1"/>
  <c r="U594" i="1"/>
  <c r="T594" i="1"/>
  <c r="S594" i="1"/>
  <c r="Q594" i="1"/>
  <c r="P594" i="1"/>
  <c r="O594" i="1"/>
  <c r="N594" i="1"/>
  <c r="M594" i="1"/>
  <c r="L594" i="1"/>
  <c r="K594" i="1"/>
  <c r="J594" i="1"/>
  <c r="I594" i="1"/>
  <c r="G594" i="1"/>
  <c r="F594" i="1"/>
  <c r="E594" i="1"/>
  <c r="AB593" i="1"/>
  <c r="AA593" i="1"/>
  <c r="Y593" i="1"/>
  <c r="Z593" i="1" s="1"/>
  <c r="X593" i="1"/>
  <c r="W593" i="1"/>
  <c r="V593" i="1"/>
  <c r="U593" i="1"/>
  <c r="T593" i="1"/>
  <c r="S593" i="1"/>
  <c r="Q593" i="1"/>
  <c r="P593" i="1"/>
  <c r="O593" i="1"/>
  <c r="N593" i="1"/>
  <c r="M593" i="1"/>
  <c r="L593" i="1"/>
  <c r="K593" i="1"/>
  <c r="J593" i="1"/>
  <c r="I593" i="1"/>
  <c r="G593" i="1"/>
  <c r="F593" i="1"/>
  <c r="E593" i="1"/>
  <c r="H592" i="1"/>
  <c r="Y592" i="1" s="1"/>
  <c r="D592" i="1"/>
  <c r="H591" i="1"/>
  <c r="Y591" i="1" s="1"/>
  <c r="D591" i="1"/>
  <c r="H590" i="1"/>
  <c r="Y590" i="1" s="1"/>
  <c r="D590" i="1"/>
  <c r="AB589" i="1"/>
  <c r="AA589" i="1"/>
  <c r="X589" i="1"/>
  <c r="W589" i="1"/>
  <c r="V589" i="1"/>
  <c r="U589" i="1"/>
  <c r="T589" i="1"/>
  <c r="S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R586" i="1"/>
  <c r="AB584" i="1"/>
  <c r="AA584" i="1"/>
  <c r="X584" i="1"/>
  <c r="W584" i="1"/>
  <c r="V584" i="1"/>
  <c r="U584" i="1"/>
  <c r="T584" i="1"/>
  <c r="S584" i="1"/>
  <c r="Q584" i="1"/>
  <c r="P584" i="1"/>
  <c r="O584" i="1"/>
  <c r="N584" i="1"/>
  <c r="M584" i="1"/>
  <c r="L584" i="1"/>
  <c r="K584" i="1"/>
  <c r="J584" i="1"/>
  <c r="I584" i="1"/>
  <c r="H584" i="1"/>
  <c r="Y584" i="1" s="1"/>
  <c r="G584" i="1"/>
  <c r="F584" i="1"/>
  <c r="E584" i="1"/>
  <c r="D584" i="1"/>
  <c r="H583" i="1"/>
  <c r="Y583" i="1" s="1"/>
  <c r="D583" i="1"/>
  <c r="H582" i="1"/>
  <c r="Y582" i="1" s="1"/>
  <c r="D582" i="1"/>
  <c r="H581" i="1"/>
  <c r="Y581" i="1" s="1"/>
  <c r="D581" i="1"/>
  <c r="H580" i="1"/>
  <c r="Y580" i="1" s="1"/>
  <c r="D580" i="1"/>
  <c r="H579" i="1"/>
  <c r="Y579" i="1" s="1"/>
  <c r="D579" i="1"/>
  <c r="AB578" i="1"/>
  <c r="AB586" i="1" s="1"/>
  <c r="AA578" i="1"/>
  <c r="AA586" i="1" s="1"/>
  <c r="X578" i="1"/>
  <c r="X586" i="1" s="1"/>
  <c r="W578" i="1"/>
  <c r="V578" i="1"/>
  <c r="V586" i="1" s="1"/>
  <c r="U578" i="1"/>
  <c r="U586" i="1" s="1"/>
  <c r="T578" i="1"/>
  <c r="T586" i="1" s="1"/>
  <c r="S578" i="1"/>
  <c r="S586" i="1" s="1"/>
  <c r="Q578" i="1"/>
  <c r="P578" i="1"/>
  <c r="P586" i="1" s="1"/>
  <c r="O578" i="1"/>
  <c r="O586" i="1" s="1"/>
  <c r="N578" i="1"/>
  <c r="N586" i="1" s="1"/>
  <c r="M578" i="1"/>
  <c r="L578" i="1"/>
  <c r="L586" i="1" s="1"/>
  <c r="K578" i="1"/>
  <c r="K586" i="1" s="1"/>
  <c r="J578" i="1"/>
  <c r="J586" i="1" s="1"/>
  <c r="I578" i="1"/>
  <c r="I586" i="1" s="1"/>
  <c r="H578" i="1"/>
  <c r="Y578" i="1" s="1"/>
  <c r="G578" i="1"/>
  <c r="F578" i="1"/>
  <c r="F586" i="1" s="1"/>
  <c r="E578" i="1"/>
  <c r="E586" i="1" s="1"/>
  <c r="D578" i="1"/>
  <c r="R575" i="1"/>
  <c r="AB573" i="1"/>
  <c r="AA573" i="1"/>
  <c r="Y573" i="1"/>
  <c r="Z573" i="1" s="1"/>
  <c r="X573" i="1"/>
  <c r="W573" i="1"/>
  <c r="V573" i="1"/>
  <c r="AO604" i="1" s="1"/>
  <c r="U573" i="1"/>
  <c r="T573" i="1"/>
  <c r="S573" i="1"/>
  <c r="Q573" i="1"/>
  <c r="P573" i="1"/>
  <c r="AM604" i="1" s="1"/>
  <c r="O573" i="1"/>
  <c r="AL604" i="1" s="1"/>
  <c r="N573" i="1"/>
  <c r="M573" i="1"/>
  <c r="L573" i="1"/>
  <c r="AJ604" i="1" s="1"/>
  <c r="K573" i="1"/>
  <c r="J573" i="1"/>
  <c r="I573" i="1"/>
  <c r="G573" i="1"/>
  <c r="F573" i="1"/>
  <c r="AH604" i="1" s="1"/>
  <c r="E573" i="1"/>
  <c r="AG604" i="1" s="1"/>
  <c r="AB572" i="1"/>
  <c r="AA572" i="1"/>
  <c r="X572" i="1"/>
  <c r="W572" i="1"/>
  <c r="V572" i="1"/>
  <c r="U572" i="1"/>
  <c r="T572" i="1"/>
  <c r="S572" i="1"/>
  <c r="Q572" i="1"/>
  <c r="P572" i="1"/>
  <c r="O572" i="1"/>
  <c r="N572" i="1"/>
  <c r="M572" i="1"/>
  <c r="L572" i="1"/>
  <c r="K572" i="1"/>
  <c r="J572" i="1"/>
  <c r="I572" i="1"/>
  <c r="H572" i="1"/>
  <c r="Y572" i="1" s="1"/>
  <c r="G572" i="1"/>
  <c r="F572" i="1"/>
  <c r="E572" i="1"/>
  <c r="D572" i="1"/>
  <c r="AB571" i="1"/>
  <c r="AA571" i="1"/>
  <c r="Y571" i="1"/>
  <c r="Z571" i="1" s="1"/>
  <c r="X571" i="1"/>
  <c r="W571" i="1"/>
  <c r="V571" i="1"/>
  <c r="U571" i="1"/>
  <c r="T571" i="1"/>
  <c r="S571" i="1"/>
  <c r="Q571" i="1"/>
  <c r="P571" i="1"/>
  <c r="O571" i="1"/>
  <c r="N571" i="1"/>
  <c r="M571" i="1"/>
  <c r="L571" i="1"/>
  <c r="K571" i="1"/>
  <c r="J571" i="1"/>
  <c r="I571" i="1"/>
  <c r="G571" i="1"/>
  <c r="F571" i="1"/>
  <c r="E571" i="1"/>
  <c r="AB570" i="1"/>
  <c r="AA570" i="1"/>
  <c r="Y570" i="1"/>
  <c r="Z570" i="1" s="1"/>
  <c r="X570" i="1"/>
  <c r="W570" i="1"/>
  <c r="V570" i="1"/>
  <c r="U570" i="1"/>
  <c r="T570" i="1"/>
  <c r="S570" i="1"/>
  <c r="Q570" i="1"/>
  <c r="P570" i="1"/>
  <c r="O570" i="1"/>
  <c r="N570" i="1"/>
  <c r="M570" i="1"/>
  <c r="L570" i="1"/>
  <c r="K570" i="1"/>
  <c r="J570" i="1"/>
  <c r="I570" i="1"/>
  <c r="G570" i="1"/>
  <c r="F570" i="1"/>
  <c r="E570" i="1"/>
  <c r="AB569" i="1"/>
  <c r="AA569" i="1"/>
  <c r="X569" i="1"/>
  <c r="W569" i="1"/>
  <c r="V569" i="1"/>
  <c r="U569" i="1"/>
  <c r="T569" i="1"/>
  <c r="S569" i="1"/>
  <c r="Q569" i="1"/>
  <c r="P569" i="1"/>
  <c r="O569" i="1"/>
  <c r="N569" i="1"/>
  <c r="M569" i="1"/>
  <c r="L569" i="1"/>
  <c r="K569" i="1"/>
  <c r="J569" i="1"/>
  <c r="I569" i="1"/>
  <c r="H569" i="1"/>
  <c r="Y569" i="1" s="1"/>
  <c r="G569" i="1"/>
  <c r="F569" i="1"/>
  <c r="E569" i="1"/>
  <c r="D569" i="1"/>
  <c r="D568" i="1"/>
  <c r="H568" i="1" s="1"/>
  <c r="Y568" i="1" s="1"/>
  <c r="H567" i="1"/>
  <c r="Y567" i="1" s="1"/>
  <c r="D567" i="1"/>
  <c r="H566" i="1"/>
  <c r="Y566" i="1" s="1"/>
  <c r="D566" i="1"/>
  <c r="H565" i="1"/>
  <c r="Y565" i="1" s="1"/>
  <c r="D565" i="1"/>
  <c r="AB564" i="1"/>
  <c r="AA564" i="1"/>
  <c r="X564" i="1"/>
  <c r="W564" i="1"/>
  <c r="V564" i="1"/>
  <c r="U564" i="1"/>
  <c r="T564" i="1"/>
  <c r="S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R561" i="1"/>
  <c r="AB559" i="1"/>
  <c r="AA559" i="1"/>
  <c r="Y559" i="1"/>
  <c r="Z559" i="1" s="1"/>
  <c r="X559" i="1"/>
  <c r="W559" i="1"/>
  <c r="V559" i="1"/>
  <c r="AO603" i="1" s="1"/>
  <c r="U559" i="1"/>
  <c r="T559" i="1"/>
  <c r="S559" i="1"/>
  <c r="Q559" i="1"/>
  <c r="P559" i="1"/>
  <c r="AM603" i="1" s="1"/>
  <c r="O559" i="1"/>
  <c r="AL603" i="1" s="1"/>
  <c r="N559" i="1"/>
  <c r="M559" i="1"/>
  <c r="L559" i="1"/>
  <c r="AJ603" i="1" s="1"/>
  <c r="K559" i="1"/>
  <c r="J559" i="1"/>
  <c r="I559" i="1"/>
  <c r="G559" i="1"/>
  <c r="F559" i="1"/>
  <c r="AH603" i="1" s="1"/>
  <c r="E559" i="1"/>
  <c r="AG603" i="1" s="1"/>
  <c r="C559" i="1"/>
  <c r="AB558" i="1"/>
  <c r="AA558" i="1"/>
  <c r="Y558" i="1"/>
  <c r="X558" i="1"/>
  <c r="W558" i="1"/>
  <c r="V558" i="1"/>
  <c r="U558" i="1"/>
  <c r="T558" i="1"/>
  <c r="S558" i="1"/>
  <c r="Q558" i="1"/>
  <c r="P558" i="1"/>
  <c r="O558" i="1"/>
  <c r="N558" i="1"/>
  <c r="M558" i="1"/>
  <c r="L558" i="1"/>
  <c r="K558" i="1"/>
  <c r="J558" i="1"/>
  <c r="I558" i="1"/>
  <c r="G558" i="1"/>
  <c r="F558" i="1"/>
  <c r="E558" i="1"/>
  <c r="D558" i="1"/>
  <c r="H557" i="1"/>
  <c r="Y557" i="1" s="1"/>
  <c r="D557" i="1"/>
  <c r="H556" i="1"/>
  <c r="Y556" i="1" s="1"/>
  <c r="D556" i="1"/>
  <c r="H555" i="1"/>
  <c r="Y555" i="1" s="1"/>
  <c r="D555" i="1"/>
  <c r="H554" i="1"/>
  <c r="Y554" i="1" s="1"/>
  <c r="D554" i="1"/>
  <c r="AB553" i="1"/>
  <c r="AA553" i="1"/>
  <c r="X553" i="1"/>
  <c r="W553" i="1"/>
  <c r="V553" i="1"/>
  <c r="U553" i="1"/>
  <c r="T553" i="1"/>
  <c r="S553" i="1"/>
  <c r="Q553" i="1"/>
  <c r="P553" i="1"/>
  <c r="O553" i="1"/>
  <c r="N553" i="1"/>
  <c r="M553" i="1"/>
  <c r="L553" i="1"/>
  <c r="K553" i="1"/>
  <c r="J553" i="1"/>
  <c r="I553" i="1"/>
  <c r="H553" i="1"/>
  <c r="Y553" i="1" s="1"/>
  <c r="G553" i="1"/>
  <c r="F553" i="1"/>
  <c r="E553" i="1"/>
  <c r="D553" i="1"/>
  <c r="AB552" i="1"/>
  <c r="AA552" i="1"/>
  <c r="X552" i="1"/>
  <c r="W552" i="1"/>
  <c r="V552" i="1"/>
  <c r="U552" i="1"/>
  <c r="T552" i="1"/>
  <c r="S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AB547" i="1"/>
  <c r="AA547" i="1"/>
  <c r="Y547" i="1"/>
  <c r="X547" i="1"/>
  <c r="W547" i="1"/>
  <c r="V547" i="1"/>
  <c r="U547" i="1"/>
  <c r="T547" i="1"/>
  <c r="S547" i="1"/>
  <c r="Q547" i="1"/>
  <c r="P547" i="1"/>
  <c r="O547" i="1"/>
  <c r="N547" i="1"/>
  <c r="M547" i="1"/>
  <c r="L547" i="1"/>
  <c r="K547" i="1"/>
  <c r="J547" i="1"/>
  <c r="I547" i="1"/>
  <c r="G547" i="1"/>
  <c r="F547" i="1"/>
  <c r="E547" i="1"/>
  <c r="D547" i="1"/>
  <c r="AB546" i="1"/>
  <c r="AA546" i="1"/>
  <c r="X546" i="1"/>
  <c r="W546" i="1"/>
  <c r="V546" i="1"/>
  <c r="U546" i="1"/>
  <c r="T546" i="1"/>
  <c r="S546" i="1"/>
  <c r="Q546" i="1"/>
  <c r="P546" i="1"/>
  <c r="O546" i="1"/>
  <c r="N546" i="1"/>
  <c r="M546" i="1"/>
  <c r="L546" i="1"/>
  <c r="K546" i="1"/>
  <c r="J546" i="1"/>
  <c r="I546" i="1"/>
  <c r="H546" i="1"/>
  <c r="H549" i="1" s="1"/>
  <c r="G546" i="1"/>
  <c r="F546" i="1"/>
  <c r="E546" i="1"/>
  <c r="D546" i="1"/>
  <c r="AB545" i="1"/>
  <c r="AA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G545" i="1"/>
  <c r="F545" i="1"/>
  <c r="E545" i="1"/>
  <c r="D545" i="1"/>
  <c r="AB538" i="1"/>
  <c r="AA538" i="1"/>
  <c r="X538" i="1"/>
  <c r="W538" i="1"/>
  <c r="V538" i="1"/>
  <c r="U538" i="1"/>
  <c r="T538" i="1"/>
  <c r="S538" i="1"/>
  <c r="R538" i="1"/>
  <c r="Y538" i="1" s="1"/>
  <c r="Q538" i="1"/>
  <c r="P538" i="1"/>
  <c r="O538" i="1"/>
  <c r="N538" i="1"/>
  <c r="M538" i="1"/>
  <c r="L538" i="1"/>
  <c r="K538" i="1"/>
  <c r="J538" i="1"/>
  <c r="I538" i="1"/>
  <c r="G538" i="1"/>
  <c r="F538" i="1"/>
  <c r="E538" i="1"/>
  <c r="D538" i="1"/>
  <c r="AB537" i="1"/>
  <c r="AA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G537" i="1"/>
  <c r="F537" i="1"/>
  <c r="E537" i="1"/>
  <c r="D537" i="1"/>
  <c r="H536" i="1"/>
  <c r="Y536" i="1" s="1"/>
  <c r="D536" i="1"/>
  <c r="H535" i="1"/>
  <c r="Y535" i="1" s="1"/>
  <c r="D535" i="1"/>
  <c r="AB534" i="1"/>
  <c r="AA534" i="1"/>
  <c r="X534" i="1"/>
  <c r="W534" i="1"/>
  <c r="V534" i="1"/>
  <c r="U534" i="1"/>
  <c r="T534" i="1"/>
  <c r="S534" i="1"/>
  <c r="Q534" i="1"/>
  <c r="P534" i="1"/>
  <c r="O534" i="1"/>
  <c r="AL596" i="1" s="1"/>
  <c r="N534" i="1"/>
  <c r="M534" i="1"/>
  <c r="L534" i="1"/>
  <c r="K534" i="1"/>
  <c r="J534" i="1"/>
  <c r="I534" i="1"/>
  <c r="H534" i="1"/>
  <c r="Y534" i="1" s="1"/>
  <c r="G534" i="1"/>
  <c r="F534" i="1"/>
  <c r="E534" i="1"/>
  <c r="D534" i="1"/>
  <c r="H533" i="1"/>
  <c r="Y533" i="1" s="1"/>
  <c r="D533" i="1"/>
  <c r="H532" i="1"/>
  <c r="Y532" i="1" s="1"/>
  <c r="D532" i="1"/>
  <c r="AB531" i="1"/>
  <c r="AA531" i="1"/>
  <c r="X531" i="1"/>
  <c r="W531" i="1"/>
  <c r="V531" i="1"/>
  <c r="AO612" i="1" s="1"/>
  <c r="U531" i="1"/>
  <c r="T531" i="1"/>
  <c r="S531" i="1"/>
  <c r="Q531" i="1"/>
  <c r="P531" i="1"/>
  <c r="AM612" i="1" s="1"/>
  <c r="O531" i="1"/>
  <c r="N531" i="1"/>
  <c r="M531" i="1"/>
  <c r="L531" i="1"/>
  <c r="AJ612" i="1" s="1"/>
  <c r="K531" i="1"/>
  <c r="J531" i="1"/>
  <c r="I531" i="1"/>
  <c r="H531" i="1"/>
  <c r="Y531" i="1" s="1"/>
  <c r="G531" i="1"/>
  <c r="F531" i="1"/>
  <c r="E531" i="1"/>
  <c r="D531" i="1"/>
  <c r="AB530" i="1"/>
  <c r="AA530" i="1"/>
  <c r="X530" i="1"/>
  <c r="W530" i="1"/>
  <c r="V530" i="1"/>
  <c r="U530" i="1"/>
  <c r="T530" i="1"/>
  <c r="S530" i="1"/>
  <c r="Q530" i="1"/>
  <c r="P530" i="1"/>
  <c r="O530" i="1"/>
  <c r="N530" i="1"/>
  <c r="M530" i="1"/>
  <c r="L530" i="1"/>
  <c r="K530" i="1"/>
  <c r="J530" i="1"/>
  <c r="I530" i="1"/>
  <c r="H530" i="1"/>
  <c r="Y530" i="1" s="1"/>
  <c r="G530" i="1"/>
  <c r="F530" i="1"/>
  <c r="E530" i="1"/>
  <c r="D530" i="1"/>
  <c r="H529" i="1"/>
  <c r="D529" i="1"/>
  <c r="AB528" i="1"/>
  <c r="AA528" i="1"/>
  <c r="Y528" i="1"/>
  <c r="Z528" i="1" s="1"/>
  <c r="X528" i="1"/>
  <c r="W528" i="1"/>
  <c r="V528" i="1"/>
  <c r="U528" i="1"/>
  <c r="T528" i="1"/>
  <c r="S528" i="1"/>
  <c r="Q528" i="1"/>
  <c r="P528" i="1"/>
  <c r="O528" i="1"/>
  <c r="N528" i="1"/>
  <c r="M528" i="1"/>
  <c r="L528" i="1"/>
  <c r="K528" i="1"/>
  <c r="J528" i="1"/>
  <c r="I528" i="1"/>
  <c r="G528" i="1"/>
  <c r="F528" i="1"/>
  <c r="E528" i="1"/>
  <c r="AB523" i="1"/>
  <c r="AA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G523" i="1"/>
  <c r="F523" i="1"/>
  <c r="E523" i="1"/>
  <c r="D523" i="1"/>
  <c r="AB522" i="1"/>
  <c r="AA522" i="1"/>
  <c r="X522" i="1"/>
  <c r="W522" i="1"/>
  <c r="V522" i="1"/>
  <c r="U522" i="1"/>
  <c r="T522" i="1"/>
  <c r="S522" i="1"/>
  <c r="R522" i="1"/>
  <c r="Y522" i="1" s="1"/>
  <c r="Q522" i="1"/>
  <c r="P522" i="1"/>
  <c r="O522" i="1"/>
  <c r="N522" i="1"/>
  <c r="M522" i="1"/>
  <c r="L522" i="1"/>
  <c r="K522" i="1"/>
  <c r="J522" i="1"/>
  <c r="I522" i="1"/>
  <c r="G522" i="1"/>
  <c r="F522" i="1"/>
  <c r="E522" i="1"/>
  <c r="D522" i="1"/>
  <c r="Y521" i="1"/>
  <c r="H521" i="1"/>
  <c r="D521" i="1"/>
  <c r="AB520" i="1"/>
  <c r="AA520" i="1"/>
  <c r="X520" i="1"/>
  <c r="W520" i="1"/>
  <c r="V520" i="1"/>
  <c r="U520" i="1"/>
  <c r="T520" i="1"/>
  <c r="S520" i="1"/>
  <c r="Q520" i="1"/>
  <c r="P520" i="1"/>
  <c r="O520" i="1"/>
  <c r="N520" i="1"/>
  <c r="M520" i="1"/>
  <c r="L520" i="1"/>
  <c r="K520" i="1"/>
  <c r="J520" i="1"/>
  <c r="I520" i="1"/>
  <c r="H520" i="1"/>
  <c r="Y520" i="1" s="1"/>
  <c r="G520" i="1"/>
  <c r="F520" i="1"/>
  <c r="E520" i="1"/>
  <c r="D520" i="1"/>
  <c r="H519" i="1"/>
  <c r="Y519" i="1" s="1"/>
  <c r="D519" i="1"/>
  <c r="H518" i="1"/>
  <c r="Y518" i="1" s="1"/>
  <c r="D518" i="1"/>
  <c r="AB517" i="1"/>
  <c r="AA517" i="1"/>
  <c r="X517" i="1"/>
  <c r="W517" i="1"/>
  <c r="V517" i="1"/>
  <c r="U517" i="1"/>
  <c r="T517" i="1"/>
  <c r="S517" i="1"/>
  <c r="Q517" i="1"/>
  <c r="P517" i="1"/>
  <c r="O517" i="1"/>
  <c r="N517" i="1"/>
  <c r="M517" i="1"/>
  <c r="L517" i="1"/>
  <c r="K517" i="1"/>
  <c r="J517" i="1"/>
  <c r="I517" i="1"/>
  <c r="H517" i="1"/>
  <c r="Y517" i="1" s="1"/>
  <c r="G517" i="1"/>
  <c r="F517" i="1"/>
  <c r="E517" i="1"/>
  <c r="D517" i="1"/>
  <c r="AB516" i="1"/>
  <c r="AA516" i="1"/>
  <c r="X516" i="1"/>
  <c r="W516" i="1"/>
  <c r="V516" i="1"/>
  <c r="U516" i="1"/>
  <c r="T516" i="1"/>
  <c r="S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X515" i="1"/>
  <c r="N515" i="1"/>
  <c r="AB511" i="1"/>
  <c r="AA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AJ614" i="1" s="1"/>
  <c r="G511" i="1"/>
  <c r="F511" i="1"/>
  <c r="E511" i="1"/>
  <c r="D511" i="1"/>
  <c r="AB510" i="1"/>
  <c r="AA510" i="1"/>
  <c r="Y510" i="1"/>
  <c r="X510" i="1"/>
  <c r="W510" i="1"/>
  <c r="V510" i="1"/>
  <c r="U510" i="1"/>
  <c r="T510" i="1"/>
  <c r="S510" i="1"/>
  <c r="Q510" i="1"/>
  <c r="P510" i="1"/>
  <c r="O510" i="1"/>
  <c r="N510" i="1"/>
  <c r="M510" i="1"/>
  <c r="L510" i="1"/>
  <c r="K510" i="1"/>
  <c r="J510" i="1"/>
  <c r="I510" i="1"/>
  <c r="G510" i="1"/>
  <c r="F510" i="1"/>
  <c r="E510" i="1"/>
  <c r="D510" i="1"/>
  <c r="AB509" i="1"/>
  <c r="AA509" i="1"/>
  <c r="Y509" i="1"/>
  <c r="Z509" i="1" s="1"/>
  <c r="X509" i="1"/>
  <c r="W509" i="1"/>
  <c r="V509" i="1"/>
  <c r="U509" i="1"/>
  <c r="T509" i="1"/>
  <c r="S509" i="1"/>
  <c r="Q509" i="1"/>
  <c r="P509" i="1"/>
  <c r="O509" i="1"/>
  <c r="N509" i="1"/>
  <c r="M509" i="1"/>
  <c r="L509" i="1"/>
  <c r="K509" i="1"/>
  <c r="J509" i="1"/>
  <c r="I509" i="1"/>
  <c r="G509" i="1"/>
  <c r="F509" i="1"/>
  <c r="E509" i="1"/>
  <c r="H508" i="1"/>
  <c r="Y508" i="1" s="1"/>
  <c r="D508" i="1"/>
  <c r="H507" i="1"/>
  <c r="Y507" i="1" s="1"/>
  <c r="D507" i="1"/>
  <c r="H506" i="1"/>
  <c r="Y506" i="1" s="1"/>
  <c r="D506" i="1"/>
  <c r="H505" i="1"/>
  <c r="Y505" i="1" s="1"/>
  <c r="D505" i="1"/>
  <c r="H504" i="1"/>
  <c r="Y504" i="1" s="1"/>
  <c r="D504" i="1"/>
  <c r="AB503" i="1"/>
  <c r="AA503" i="1"/>
  <c r="X503" i="1"/>
  <c r="W503" i="1"/>
  <c r="V503" i="1"/>
  <c r="U503" i="1"/>
  <c r="T503" i="1"/>
  <c r="S503" i="1"/>
  <c r="Q503" i="1"/>
  <c r="P503" i="1"/>
  <c r="O503" i="1"/>
  <c r="N503" i="1"/>
  <c r="M503" i="1"/>
  <c r="L503" i="1"/>
  <c r="K503" i="1"/>
  <c r="J503" i="1"/>
  <c r="I503" i="1"/>
  <c r="H503" i="1"/>
  <c r="Y503" i="1" s="1"/>
  <c r="G503" i="1"/>
  <c r="F503" i="1"/>
  <c r="E503" i="1"/>
  <c r="D503" i="1"/>
  <c r="AB502" i="1"/>
  <c r="AA502" i="1"/>
  <c r="X502" i="1"/>
  <c r="W502" i="1"/>
  <c r="V502" i="1"/>
  <c r="U502" i="1"/>
  <c r="T502" i="1"/>
  <c r="S502" i="1"/>
  <c r="Q502" i="1"/>
  <c r="P502" i="1"/>
  <c r="O502" i="1"/>
  <c r="N502" i="1"/>
  <c r="M502" i="1"/>
  <c r="L502" i="1"/>
  <c r="K502" i="1"/>
  <c r="J502" i="1"/>
  <c r="I502" i="1"/>
  <c r="H502" i="1"/>
  <c r="Y502" i="1" s="1"/>
  <c r="G502" i="1"/>
  <c r="F502" i="1"/>
  <c r="E502" i="1"/>
  <c r="D502" i="1"/>
  <c r="AB497" i="1"/>
  <c r="AA497" i="1"/>
  <c r="Z497" i="1"/>
  <c r="Y497" i="1"/>
  <c r="X497" i="1"/>
  <c r="W497" i="1"/>
  <c r="V497" i="1"/>
  <c r="U497" i="1"/>
  <c r="T497" i="1"/>
  <c r="S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AB496" i="1"/>
  <c r="AA496" i="1"/>
  <c r="Y496" i="1"/>
  <c r="X496" i="1"/>
  <c r="W496" i="1"/>
  <c r="V496" i="1"/>
  <c r="U496" i="1"/>
  <c r="T496" i="1"/>
  <c r="S496" i="1"/>
  <c r="Q496" i="1"/>
  <c r="P496" i="1"/>
  <c r="O496" i="1"/>
  <c r="N496" i="1"/>
  <c r="M496" i="1"/>
  <c r="L496" i="1"/>
  <c r="K496" i="1"/>
  <c r="J496" i="1"/>
  <c r="I496" i="1"/>
  <c r="G496" i="1"/>
  <c r="F496" i="1"/>
  <c r="E496" i="1"/>
  <c r="D496" i="1"/>
  <c r="AF601" i="1" s="1"/>
  <c r="AB495" i="1"/>
  <c r="AA495" i="1"/>
  <c r="X495" i="1"/>
  <c r="W495" i="1"/>
  <c r="V495" i="1"/>
  <c r="U495" i="1"/>
  <c r="T495" i="1"/>
  <c r="S495" i="1"/>
  <c r="R495" i="1"/>
  <c r="Y495" i="1" s="1"/>
  <c r="Q495" i="1"/>
  <c r="P495" i="1"/>
  <c r="O495" i="1"/>
  <c r="N495" i="1"/>
  <c r="M495" i="1"/>
  <c r="L495" i="1"/>
  <c r="K495" i="1"/>
  <c r="J495" i="1"/>
  <c r="I495" i="1"/>
  <c r="G495" i="1"/>
  <c r="F495" i="1"/>
  <c r="E495" i="1"/>
  <c r="D495" i="1"/>
  <c r="H494" i="1"/>
  <c r="Y494" i="1" s="1"/>
  <c r="D494" i="1"/>
  <c r="D493" i="1"/>
  <c r="H493" i="1" s="1"/>
  <c r="Y493" i="1" s="1"/>
  <c r="H492" i="1"/>
  <c r="Y492" i="1" s="1"/>
  <c r="D492" i="1"/>
  <c r="H491" i="1"/>
  <c r="Y491" i="1" s="1"/>
  <c r="D491" i="1"/>
  <c r="AB490" i="1"/>
  <c r="AA490" i="1"/>
  <c r="X490" i="1"/>
  <c r="W490" i="1"/>
  <c r="V490" i="1"/>
  <c r="U490" i="1"/>
  <c r="T490" i="1"/>
  <c r="S490" i="1"/>
  <c r="Q490" i="1"/>
  <c r="P490" i="1"/>
  <c r="O490" i="1"/>
  <c r="N490" i="1"/>
  <c r="M490" i="1"/>
  <c r="L490" i="1"/>
  <c r="K490" i="1"/>
  <c r="J490" i="1"/>
  <c r="I490" i="1"/>
  <c r="H490" i="1"/>
  <c r="Y490" i="1" s="1"/>
  <c r="G490" i="1"/>
  <c r="F490" i="1"/>
  <c r="E490" i="1"/>
  <c r="D490" i="1"/>
  <c r="H489" i="1"/>
  <c r="Y489" i="1" s="1"/>
  <c r="D489" i="1"/>
  <c r="R488" i="1"/>
  <c r="H488" i="1"/>
  <c r="D488" i="1"/>
  <c r="AB487" i="1"/>
  <c r="AA487" i="1"/>
  <c r="X487" i="1"/>
  <c r="W487" i="1"/>
  <c r="V487" i="1"/>
  <c r="U487" i="1"/>
  <c r="T487" i="1"/>
  <c r="S487" i="1"/>
  <c r="Q487" i="1"/>
  <c r="P487" i="1"/>
  <c r="O487" i="1"/>
  <c r="N487" i="1"/>
  <c r="M487" i="1"/>
  <c r="L487" i="1"/>
  <c r="K487" i="1"/>
  <c r="J487" i="1"/>
  <c r="I487" i="1"/>
  <c r="H487" i="1"/>
  <c r="Y487" i="1" s="1"/>
  <c r="G487" i="1"/>
  <c r="F487" i="1"/>
  <c r="E487" i="1"/>
  <c r="D487" i="1"/>
  <c r="AB486" i="1"/>
  <c r="AA486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G486" i="1"/>
  <c r="F486" i="1"/>
  <c r="E486" i="1"/>
  <c r="D486" i="1"/>
  <c r="Z486" i="1" s="1"/>
  <c r="B485" i="1"/>
  <c r="AB482" i="1"/>
  <c r="AA482" i="1"/>
  <c r="X482" i="1"/>
  <c r="W482" i="1"/>
  <c r="V482" i="1"/>
  <c r="U482" i="1"/>
  <c r="T482" i="1"/>
  <c r="S482" i="1"/>
  <c r="Q482" i="1"/>
  <c r="P482" i="1"/>
  <c r="O482" i="1"/>
  <c r="N482" i="1"/>
  <c r="M482" i="1"/>
  <c r="L482" i="1"/>
  <c r="K482" i="1"/>
  <c r="J482" i="1"/>
  <c r="I482" i="1"/>
  <c r="H482" i="1"/>
  <c r="Y482" i="1" s="1"/>
  <c r="G482" i="1"/>
  <c r="F482" i="1"/>
  <c r="E482" i="1"/>
  <c r="D482" i="1"/>
  <c r="AB481" i="1"/>
  <c r="AA481" i="1"/>
  <c r="X481" i="1"/>
  <c r="W481" i="1"/>
  <c r="V481" i="1"/>
  <c r="U481" i="1"/>
  <c r="T481" i="1"/>
  <c r="S481" i="1"/>
  <c r="R481" i="1"/>
  <c r="Y481" i="1" s="1"/>
  <c r="Z481" i="1" s="1"/>
  <c r="Q481" i="1"/>
  <c r="P481" i="1"/>
  <c r="O481" i="1"/>
  <c r="N481" i="1"/>
  <c r="M481" i="1"/>
  <c r="L481" i="1"/>
  <c r="K481" i="1"/>
  <c r="J481" i="1"/>
  <c r="I481" i="1"/>
  <c r="G481" i="1"/>
  <c r="F481" i="1"/>
  <c r="E481" i="1"/>
  <c r="D481" i="1"/>
  <c r="AB480" i="1"/>
  <c r="AA480" i="1"/>
  <c r="X480" i="1"/>
  <c r="W480" i="1"/>
  <c r="V480" i="1"/>
  <c r="U480" i="1"/>
  <c r="T480" i="1"/>
  <c r="S480" i="1"/>
  <c r="R480" i="1"/>
  <c r="Y480" i="1" s="1"/>
  <c r="Q480" i="1"/>
  <c r="P480" i="1"/>
  <c r="O480" i="1"/>
  <c r="N480" i="1"/>
  <c r="M480" i="1"/>
  <c r="L480" i="1"/>
  <c r="K480" i="1"/>
  <c r="J480" i="1"/>
  <c r="I480" i="1"/>
  <c r="G480" i="1"/>
  <c r="F480" i="1"/>
  <c r="E480" i="1"/>
  <c r="D480" i="1"/>
  <c r="H479" i="1"/>
  <c r="Y479" i="1" s="1"/>
  <c r="D479" i="1"/>
  <c r="H478" i="1"/>
  <c r="Y478" i="1" s="1"/>
  <c r="D478" i="1"/>
  <c r="H477" i="1"/>
  <c r="Y477" i="1" s="1"/>
  <c r="D477" i="1"/>
  <c r="AB476" i="1"/>
  <c r="AA476" i="1"/>
  <c r="X476" i="1"/>
  <c r="X484" i="1" s="1"/>
  <c r="W476" i="1"/>
  <c r="V476" i="1"/>
  <c r="U476" i="1"/>
  <c r="T476" i="1"/>
  <c r="S476" i="1"/>
  <c r="Q476" i="1"/>
  <c r="P476" i="1"/>
  <c r="O476" i="1"/>
  <c r="N476" i="1"/>
  <c r="M476" i="1"/>
  <c r="L476" i="1"/>
  <c r="K476" i="1"/>
  <c r="J476" i="1"/>
  <c r="I476" i="1"/>
  <c r="H476" i="1"/>
  <c r="Y476" i="1" s="1"/>
  <c r="G476" i="1"/>
  <c r="F476" i="1"/>
  <c r="E476" i="1"/>
  <c r="D476" i="1"/>
  <c r="AB475" i="1"/>
  <c r="AB484" i="1" s="1"/>
  <c r="AA475" i="1"/>
  <c r="X475" i="1"/>
  <c r="W475" i="1"/>
  <c r="V475" i="1"/>
  <c r="V484" i="1" s="1"/>
  <c r="U475" i="1"/>
  <c r="T475" i="1"/>
  <c r="S475" i="1"/>
  <c r="S484" i="1" s="1"/>
  <c r="R475" i="1"/>
  <c r="Q475" i="1"/>
  <c r="P475" i="1"/>
  <c r="O475" i="1"/>
  <c r="N475" i="1"/>
  <c r="N484" i="1" s="1"/>
  <c r="M475" i="1"/>
  <c r="L475" i="1"/>
  <c r="K475" i="1"/>
  <c r="J475" i="1"/>
  <c r="J484" i="1" s="1"/>
  <c r="I475" i="1"/>
  <c r="H475" i="1"/>
  <c r="G475" i="1"/>
  <c r="F475" i="1"/>
  <c r="E475" i="1"/>
  <c r="D475" i="1"/>
  <c r="AB474" i="1"/>
  <c r="AA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G474" i="1"/>
  <c r="F474" i="1"/>
  <c r="E474" i="1"/>
  <c r="D474" i="1"/>
  <c r="Z474" i="1" s="1"/>
  <c r="B473" i="1"/>
  <c r="AB470" i="1"/>
  <c r="AA470" i="1"/>
  <c r="X470" i="1"/>
  <c r="W470" i="1"/>
  <c r="V470" i="1"/>
  <c r="U470" i="1"/>
  <c r="T470" i="1"/>
  <c r="S470" i="1"/>
  <c r="Q470" i="1"/>
  <c r="P470" i="1"/>
  <c r="O470" i="1"/>
  <c r="N470" i="1"/>
  <c r="M470" i="1"/>
  <c r="L470" i="1"/>
  <c r="K470" i="1"/>
  <c r="J470" i="1"/>
  <c r="I470" i="1"/>
  <c r="H470" i="1"/>
  <c r="Y470" i="1" s="1"/>
  <c r="G470" i="1"/>
  <c r="F470" i="1"/>
  <c r="E470" i="1"/>
  <c r="D470" i="1"/>
  <c r="AB469" i="1"/>
  <c r="AA469" i="1"/>
  <c r="X469" i="1"/>
  <c r="W469" i="1"/>
  <c r="V469" i="1"/>
  <c r="AO605" i="1" s="1"/>
  <c r="U469" i="1"/>
  <c r="T469" i="1"/>
  <c r="S469" i="1"/>
  <c r="R469" i="1"/>
  <c r="Q469" i="1"/>
  <c r="P469" i="1"/>
  <c r="AM605" i="1" s="1"/>
  <c r="O469" i="1"/>
  <c r="AL605" i="1" s="1"/>
  <c r="N469" i="1"/>
  <c r="M469" i="1"/>
  <c r="L469" i="1"/>
  <c r="AJ605" i="1" s="1"/>
  <c r="K469" i="1"/>
  <c r="J469" i="1"/>
  <c r="I469" i="1"/>
  <c r="H469" i="1"/>
  <c r="G469" i="1"/>
  <c r="F469" i="1"/>
  <c r="AH605" i="1" s="1"/>
  <c r="E469" i="1"/>
  <c r="AG605" i="1" s="1"/>
  <c r="D469" i="1"/>
  <c r="AF605" i="1" s="1"/>
  <c r="H468" i="1"/>
  <c r="Y468" i="1" s="1"/>
  <c r="D468" i="1"/>
  <c r="AB467" i="1"/>
  <c r="AA467" i="1"/>
  <c r="X467" i="1"/>
  <c r="W467" i="1"/>
  <c r="V467" i="1"/>
  <c r="AO597" i="1" s="1"/>
  <c r="U467" i="1"/>
  <c r="T467" i="1"/>
  <c r="S467" i="1"/>
  <c r="Q467" i="1"/>
  <c r="P467" i="1"/>
  <c r="AM597" i="1" s="1"/>
  <c r="O467" i="1"/>
  <c r="AL597" i="1" s="1"/>
  <c r="N467" i="1"/>
  <c r="M467" i="1"/>
  <c r="L467" i="1"/>
  <c r="AJ597" i="1" s="1"/>
  <c r="K467" i="1"/>
  <c r="J467" i="1"/>
  <c r="I467" i="1"/>
  <c r="H467" i="1"/>
  <c r="Y467" i="1" s="1"/>
  <c r="G467" i="1"/>
  <c r="F467" i="1"/>
  <c r="E467" i="1"/>
  <c r="AG597" i="1" s="1"/>
  <c r="D467" i="1"/>
  <c r="AF597" i="1" s="1"/>
  <c r="H466" i="1"/>
  <c r="Y466" i="1" s="1"/>
  <c r="D466" i="1"/>
  <c r="H465" i="1"/>
  <c r="Y465" i="1" s="1"/>
  <c r="D465" i="1"/>
  <c r="H464" i="1"/>
  <c r="Y464" i="1" s="1"/>
  <c r="D464" i="1"/>
  <c r="H463" i="1"/>
  <c r="Y463" i="1" s="1"/>
  <c r="D463" i="1"/>
  <c r="AB462" i="1"/>
  <c r="AA462" i="1"/>
  <c r="Y462" i="1"/>
  <c r="Z462" i="1" s="1"/>
  <c r="X462" i="1"/>
  <c r="W462" i="1"/>
  <c r="V462" i="1"/>
  <c r="U462" i="1"/>
  <c r="T462" i="1"/>
  <c r="S462" i="1"/>
  <c r="Q462" i="1"/>
  <c r="P462" i="1"/>
  <c r="O462" i="1"/>
  <c r="N462" i="1"/>
  <c r="M462" i="1"/>
  <c r="L462" i="1"/>
  <c r="K462" i="1"/>
  <c r="J462" i="1"/>
  <c r="I462" i="1"/>
  <c r="G462" i="1"/>
  <c r="F462" i="1"/>
  <c r="E462" i="1"/>
  <c r="AB461" i="1"/>
  <c r="AA461" i="1"/>
  <c r="X461" i="1"/>
  <c r="W461" i="1"/>
  <c r="V461" i="1"/>
  <c r="U461" i="1"/>
  <c r="T461" i="1"/>
  <c r="S461" i="1"/>
  <c r="R461" i="1"/>
  <c r="Y461" i="1" s="1"/>
  <c r="Q461" i="1"/>
  <c r="P461" i="1"/>
  <c r="O461" i="1"/>
  <c r="N461" i="1"/>
  <c r="M461" i="1"/>
  <c r="L461" i="1"/>
  <c r="K461" i="1"/>
  <c r="J461" i="1"/>
  <c r="I461" i="1"/>
  <c r="G461" i="1"/>
  <c r="F461" i="1"/>
  <c r="E461" i="1"/>
  <c r="D461" i="1"/>
  <c r="AB460" i="1"/>
  <c r="AA460" i="1"/>
  <c r="X460" i="1"/>
  <c r="W460" i="1"/>
  <c r="V460" i="1"/>
  <c r="U460" i="1"/>
  <c r="T460" i="1"/>
  <c r="S460" i="1"/>
  <c r="Q460" i="1"/>
  <c r="P460" i="1"/>
  <c r="O460" i="1"/>
  <c r="N460" i="1"/>
  <c r="M460" i="1"/>
  <c r="L460" i="1"/>
  <c r="K460" i="1"/>
  <c r="J460" i="1"/>
  <c r="I460" i="1"/>
  <c r="H460" i="1"/>
  <c r="Y460" i="1" s="1"/>
  <c r="G460" i="1"/>
  <c r="F460" i="1"/>
  <c r="E460" i="1"/>
  <c r="D460" i="1"/>
  <c r="H459" i="1"/>
  <c r="Y459" i="1" s="1"/>
  <c r="D459" i="1"/>
  <c r="AB458" i="1"/>
  <c r="AA458" i="1"/>
  <c r="X458" i="1"/>
  <c r="W458" i="1"/>
  <c r="V458" i="1"/>
  <c r="U458" i="1"/>
  <c r="T458" i="1"/>
  <c r="S458" i="1"/>
  <c r="R458" i="1"/>
  <c r="R472" i="1" s="1"/>
  <c r="Q458" i="1"/>
  <c r="P458" i="1"/>
  <c r="O458" i="1"/>
  <c r="N458" i="1"/>
  <c r="N472" i="1" s="1"/>
  <c r="M458" i="1"/>
  <c r="L458" i="1"/>
  <c r="K458" i="1"/>
  <c r="J458" i="1"/>
  <c r="I458" i="1"/>
  <c r="H458" i="1"/>
  <c r="G458" i="1"/>
  <c r="F458" i="1"/>
  <c r="E458" i="1"/>
  <c r="D458" i="1"/>
  <c r="AM450" i="1"/>
  <c r="AF450" i="1"/>
  <c r="AB449" i="1"/>
  <c r="AA449" i="1"/>
  <c r="Y449" i="1"/>
  <c r="Z449" i="1" s="1"/>
  <c r="X449" i="1"/>
  <c r="W449" i="1"/>
  <c r="V449" i="1"/>
  <c r="U449" i="1"/>
  <c r="T449" i="1"/>
  <c r="S449" i="1"/>
  <c r="Q449" i="1"/>
  <c r="P449" i="1"/>
  <c r="O449" i="1"/>
  <c r="N449" i="1"/>
  <c r="M449" i="1"/>
  <c r="L449" i="1"/>
  <c r="K449" i="1"/>
  <c r="J449" i="1"/>
  <c r="I449" i="1"/>
  <c r="G449" i="1"/>
  <c r="F449" i="1"/>
  <c r="E449" i="1"/>
  <c r="AB448" i="1"/>
  <c r="AA448" i="1"/>
  <c r="Z448" i="1"/>
  <c r="Y448" i="1"/>
  <c r="X448" i="1"/>
  <c r="W448" i="1"/>
  <c r="V448" i="1"/>
  <c r="U448" i="1"/>
  <c r="T448" i="1"/>
  <c r="S448" i="1"/>
  <c r="Q448" i="1"/>
  <c r="P448" i="1"/>
  <c r="O448" i="1"/>
  <c r="N448" i="1"/>
  <c r="M448" i="1"/>
  <c r="L448" i="1"/>
  <c r="K448" i="1"/>
  <c r="J448" i="1"/>
  <c r="I448" i="1"/>
  <c r="G448" i="1"/>
  <c r="F448" i="1"/>
  <c r="E448" i="1"/>
  <c r="Y447" i="1"/>
  <c r="H447" i="1"/>
  <c r="D447" i="1"/>
  <c r="Y446" i="1"/>
  <c r="Z446" i="1" s="1"/>
  <c r="H446" i="1"/>
  <c r="AB445" i="1"/>
  <c r="AA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G445" i="1"/>
  <c r="F445" i="1"/>
  <c r="E445" i="1"/>
  <c r="D445" i="1"/>
  <c r="AB444" i="1"/>
  <c r="AA444" i="1"/>
  <c r="Y444" i="1"/>
  <c r="Z444" i="1" s="1"/>
  <c r="X444" i="1"/>
  <c r="W444" i="1"/>
  <c r="V444" i="1"/>
  <c r="AO450" i="1" s="1"/>
  <c r="U444" i="1"/>
  <c r="T444" i="1"/>
  <c r="S444" i="1"/>
  <c r="Q444" i="1"/>
  <c r="P444" i="1"/>
  <c r="O444" i="1"/>
  <c r="AL450" i="1" s="1"/>
  <c r="AN450" i="1" s="1"/>
  <c r="N444" i="1"/>
  <c r="M444" i="1"/>
  <c r="L444" i="1"/>
  <c r="AJ450" i="1" s="1"/>
  <c r="K444" i="1"/>
  <c r="J444" i="1"/>
  <c r="I444" i="1"/>
  <c r="G444" i="1"/>
  <c r="F444" i="1"/>
  <c r="E444" i="1"/>
  <c r="AG450" i="1" s="1"/>
  <c r="AB443" i="1"/>
  <c r="AA443" i="1"/>
  <c r="X443" i="1"/>
  <c r="W443" i="1"/>
  <c r="V443" i="1"/>
  <c r="U443" i="1"/>
  <c r="T443" i="1"/>
  <c r="S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AH450" i="1" s="1"/>
  <c r="E443" i="1"/>
  <c r="D443" i="1"/>
  <c r="AB438" i="1"/>
  <c r="AA438" i="1"/>
  <c r="X438" i="1"/>
  <c r="W438" i="1"/>
  <c r="V438" i="1"/>
  <c r="U438" i="1"/>
  <c r="T438" i="1"/>
  <c r="S438" i="1"/>
  <c r="R438" i="1"/>
  <c r="Y438" i="1" s="1"/>
  <c r="Q438" i="1"/>
  <c r="P438" i="1"/>
  <c r="O438" i="1"/>
  <c r="N438" i="1"/>
  <c r="M438" i="1"/>
  <c r="L438" i="1"/>
  <c r="K438" i="1"/>
  <c r="J438" i="1"/>
  <c r="I438" i="1"/>
  <c r="G438" i="1"/>
  <c r="F438" i="1"/>
  <c r="E438" i="1"/>
  <c r="D438" i="1"/>
  <c r="AB437" i="1"/>
  <c r="AA437" i="1"/>
  <c r="Y437" i="1"/>
  <c r="Z437" i="1" s="1"/>
  <c r="X437" i="1"/>
  <c r="W437" i="1"/>
  <c r="V437" i="1"/>
  <c r="U437" i="1"/>
  <c r="T437" i="1"/>
  <c r="S437" i="1"/>
  <c r="Q437" i="1"/>
  <c r="P437" i="1"/>
  <c r="O437" i="1"/>
  <c r="N437" i="1"/>
  <c r="M437" i="1"/>
  <c r="L437" i="1"/>
  <c r="K437" i="1"/>
  <c r="J437" i="1"/>
  <c r="I437" i="1"/>
  <c r="G437" i="1"/>
  <c r="F437" i="1"/>
  <c r="E437" i="1"/>
  <c r="AB436" i="1"/>
  <c r="AA436" i="1"/>
  <c r="X436" i="1"/>
  <c r="W436" i="1"/>
  <c r="V436" i="1"/>
  <c r="U436" i="1"/>
  <c r="T436" i="1"/>
  <c r="S436" i="1"/>
  <c r="R436" i="1"/>
  <c r="Y436" i="1" s="1"/>
  <c r="Q436" i="1"/>
  <c r="P436" i="1"/>
  <c r="O436" i="1"/>
  <c r="N436" i="1"/>
  <c r="M436" i="1"/>
  <c r="L436" i="1"/>
  <c r="K436" i="1"/>
  <c r="J436" i="1"/>
  <c r="I436" i="1"/>
  <c r="G436" i="1"/>
  <c r="F436" i="1"/>
  <c r="E436" i="1"/>
  <c r="D436" i="1"/>
  <c r="AB435" i="1"/>
  <c r="AA435" i="1"/>
  <c r="X435" i="1"/>
  <c r="W435" i="1"/>
  <c r="V435" i="1"/>
  <c r="U435" i="1"/>
  <c r="T435" i="1"/>
  <c r="S435" i="1"/>
  <c r="Q435" i="1"/>
  <c r="P435" i="1"/>
  <c r="O435" i="1"/>
  <c r="N435" i="1"/>
  <c r="M435" i="1"/>
  <c r="L435" i="1"/>
  <c r="K435" i="1"/>
  <c r="J435" i="1"/>
  <c r="I435" i="1"/>
  <c r="H435" i="1"/>
  <c r="Y435" i="1" s="1"/>
  <c r="G435" i="1"/>
  <c r="F435" i="1"/>
  <c r="E435" i="1"/>
  <c r="D435" i="1"/>
  <c r="H434" i="1"/>
  <c r="Y434" i="1" s="1"/>
  <c r="D434" i="1"/>
  <c r="H433" i="1"/>
  <c r="Y433" i="1" s="1"/>
  <c r="D433" i="1"/>
  <c r="AO432" i="1"/>
  <c r="AF432" i="1"/>
  <c r="AB432" i="1"/>
  <c r="AA432" i="1"/>
  <c r="X432" i="1"/>
  <c r="W432" i="1"/>
  <c r="V432" i="1"/>
  <c r="U432" i="1"/>
  <c r="T432" i="1"/>
  <c r="S432" i="1"/>
  <c r="Q432" i="1"/>
  <c r="P432" i="1"/>
  <c r="O432" i="1"/>
  <c r="N432" i="1"/>
  <c r="M432" i="1"/>
  <c r="L432" i="1"/>
  <c r="K432" i="1"/>
  <c r="J432" i="1"/>
  <c r="I432" i="1"/>
  <c r="H432" i="1"/>
  <c r="Y432" i="1" s="1"/>
  <c r="G432" i="1"/>
  <c r="F432" i="1"/>
  <c r="E432" i="1"/>
  <c r="D432" i="1"/>
  <c r="AB431" i="1"/>
  <c r="AA431" i="1"/>
  <c r="X431" i="1"/>
  <c r="W431" i="1"/>
  <c r="V431" i="1"/>
  <c r="U431" i="1"/>
  <c r="T431" i="1"/>
  <c r="S431" i="1"/>
  <c r="Q431" i="1"/>
  <c r="P431" i="1"/>
  <c r="O431" i="1"/>
  <c r="N431" i="1"/>
  <c r="M431" i="1"/>
  <c r="L431" i="1"/>
  <c r="K431" i="1"/>
  <c r="J431" i="1"/>
  <c r="I431" i="1"/>
  <c r="H431" i="1"/>
  <c r="Y431" i="1" s="1"/>
  <c r="G431" i="1"/>
  <c r="F431" i="1"/>
  <c r="E431" i="1"/>
  <c r="D431" i="1"/>
  <c r="AB430" i="1"/>
  <c r="AA430" i="1"/>
  <c r="X430" i="1"/>
  <c r="W430" i="1"/>
  <c r="V430" i="1"/>
  <c r="U430" i="1"/>
  <c r="T430" i="1"/>
  <c r="S430" i="1"/>
  <c r="Q430" i="1"/>
  <c r="P430" i="1"/>
  <c r="O430" i="1"/>
  <c r="N430" i="1"/>
  <c r="M430" i="1"/>
  <c r="L430" i="1"/>
  <c r="K430" i="1"/>
  <c r="J430" i="1"/>
  <c r="I430" i="1"/>
  <c r="H430" i="1"/>
  <c r="Y430" i="1" s="1"/>
  <c r="G430" i="1"/>
  <c r="F430" i="1"/>
  <c r="E430" i="1"/>
  <c r="D430" i="1"/>
  <c r="AB429" i="1"/>
  <c r="AA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AB428" i="1"/>
  <c r="AA428" i="1"/>
  <c r="X428" i="1"/>
  <c r="W428" i="1"/>
  <c r="V428" i="1"/>
  <c r="U428" i="1"/>
  <c r="T428" i="1"/>
  <c r="S428" i="1"/>
  <c r="Q428" i="1"/>
  <c r="P428" i="1"/>
  <c r="O428" i="1"/>
  <c r="N428" i="1"/>
  <c r="M428" i="1"/>
  <c r="L428" i="1"/>
  <c r="K428" i="1"/>
  <c r="J428" i="1"/>
  <c r="I428" i="1"/>
  <c r="G428" i="1"/>
  <c r="F428" i="1"/>
  <c r="E428" i="1"/>
  <c r="Y425" i="1"/>
  <c r="X425" i="1"/>
  <c r="W425" i="1"/>
  <c r="V425" i="1"/>
  <c r="U425" i="1"/>
  <c r="T425" i="1"/>
  <c r="S425" i="1"/>
  <c r="R425" i="1"/>
  <c r="D425" i="1"/>
  <c r="Z425" i="1" s="1"/>
  <c r="AB421" i="1"/>
  <c r="AA421" i="1"/>
  <c r="X421" i="1"/>
  <c r="W421" i="1"/>
  <c r="V421" i="1"/>
  <c r="U421" i="1"/>
  <c r="T421" i="1"/>
  <c r="S421" i="1"/>
  <c r="Q421" i="1"/>
  <c r="P421" i="1"/>
  <c r="O421" i="1"/>
  <c r="N421" i="1"/>
  <c r="M421" i="1"/>
  <c r="L421" i="1"/>
  <c r="K421" i="1"/>
  <c r="J421" i="1"/>
  <c r="I421" i="1"/>
  <c r="H421" i="1"/>
  <c r="Y421" i="1" s="1"/>
  <c r="G421" i="1"/>
  <c r="F421" i="1"/>
  <c r="E421" i="1"/>
  <c r="D421" i="1"/>
  <c r="AB420" i="1"/>
  <c r="AA420" i="1"/>
  <c r="X420" i="1"/>
  <c r="W420" i="1"/>
  <c r="V420" i="1"/>
  <c r="AO441" i="1" s="1"/>
  <c r="U420" i="1"/>
  <c r="T420" i="1"/>
  <c r="S420" i="1"/>
  <c r="Q420" i="1"/>
  <c r="P420" i="1"/>
  <c r="AM441" i="1" s="1"/>
  <c r="O420" i="1"/>
  <c r="AL441" i="1" s="1"/>
  <c r="N420" i="1"/>
  <c r="M420" i="1"/>
  <c r="L420" i="1"/>
  <c r="AJ441" i="1" s="1"/>
  <c r="K420" i="1"/>
  <c r="J420" i="1"/>
  <c r="I420" i="1"/>
  <c r="H420" i="1"/>
  <c r="Y420" i="1" s="1"/>
  <c r="G420" i="1"/>
  <c r="F420" i="1"/>
  <c r="E420" i="1"/>
  <c r="AG441" i="1" s="1"/>
  <c r="D420" i="1"/>
  <c r="AF441" i="1" s="1"/>
  <c r="AB419" i="1"/>
  <c r="AA419" i="1"/>
  <c r="X419" i="1"/>
  <c r="W419" i="1"/>
  <c r="V419" i="1"/>
  <c r="U419" i="1"/>
  <c r="T419" i="1"/>
  <c r="S419" i="1"/>
  <c r="Q419" i="1"/>
  <c r="P419" i="1"/>
  <c r="O419" i="1"/>
  <c r="N419" i="1"/>
  <c r="M419" i="1"/>
  <c r="L419" i="1"/>
  <c r="K419" i="1"/>
  <c r="J419" i="1"/>
  <c r="I419" i="1"/>
  <c r="H419" i="1"/>
  <c r="Y419" i="1" s="1"/>
  <c r="G419" i="1"/>
  <c r="F419" i="1"/>
  <c r="AH441" i="1" s="1"/>
  <c r="E419" i="1"/>
  <c r="D419" i="1"/>
  <c r="AB418" i="1"/>
  <c r="AA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G418" i="1"/>
  <c r="F418" i="1"/>
  <c r="E418" i="1"/>
  <c r="D418" i="1"/>
  <c r="AB416" i="1"/>
  <c r="AA416" i="1"/>
  <c r="X416" i="1"/>
  <c r="W416" i="1"/>
  <c r="V416" i="1"/>
  <c r="U416" i="1"/>
  <c r="T416" i="1"/>
  <c r="S416" i="1"/>
  <c r="R416" i="1"/>
  <c r="Y416" i="1" s="1"/>
  <c r="Q416" i="1"/>
  <c r="P416" i="1"/>
  <c r="O416" i="1"/>
  <c r="N416" i="1"/>
  <c r="M416" i="1"/>
  <c r="L416" i="1"/>
  <c r="K416" i="1"/>
  <c r="J416" i="1"/>
  <c r="I416" i="1"/>
  <c r="G416" i="1"/>
  <c r="F416" i="1"/>
  <c r="E416" i="1"/>
  <c r="D416" i="1"/>
  <c r="AB412" i="1"/>
  <c r="AA412" i="1"/>
  <c r="X412" i="1"/>
  <c r="W412" i="1"/>
  <c r="V412" i="1"/>
  <c r="AO445" i="1" s="1"/>
  <c r="U412" i="1"/>
  <c r="T412" i="1"/>
  <c r="S412" i="1"/>
  <c r="R412" i="1"/>
  <c r="Q412" i="1"/>
  <c r="P412" i="1"/>
  <c r="AM445" i="1" s="1"/>
  <c r="O412" i="1"/>
  <c r="AL445" i="1" s="1"/>
  <c r="N412" i="1"/>
  <c r="M412" i="1"/>
  <c r="L412" i="1"/>
  <c r="AJ445" i="1" s="1"/>
  <c r="K412" i="1"/>
  <c r="J412" i="1"/>
  <c r="I412" i="1"/>
  <c r="H412" i="1"/>
  <c r="G412" i="1"/>
  <c r="F412" i="1"/>
  <c r="E412" i="1"/>
  <c r="AG445" i="1" s="1"/>
  <c r="D412" i="1"/>
  <c r="C412" i="1"/>
  <c r="AB411" i="1"/>
  <c r="AA411" i="1"/>
  <c r="Y411" i="1"/>
  <c r="Z411" i="1" s="1"/>
  <c r="X411" i="1"/>
  <c r="W411" i="1"/>
  <c r="V411" i="1"/>
  <c r="U411" i="1"/>
  <c r="T411" i="1"/>
  <c r="S411" i="1"/>
  <c r="Q411" i="1"/>
  <c r="P411" i="1"/>
  <c r="O411" i="1"/>
  <c r="N411" i="1"/>
  <c r="M411" i="1"/>
  <c r="L411" i="1"/>
  <c r="K411" i="1"/>
  <c r="J411" i="1"/>
  <c r="I411" i="1"/>
  <c r="G411" i="1"/>
  <c r="F411" i="1"/>
  <c r="AH445" i="1" s="1"/>
  <c r="E411" i="1"/>
  <c r="AB410" i="1"/>
  <c r="AA410" i="1"/>
  <c r="Y410" i="1"/>
  <c r="Z410" i="1" s="1"/>
  <c r="X410" i="1"/>
  <c r="W410" i="1"/>
  <c r="V410" i="1"/>
  <c r="U410" i="1"/>
  <c r="T410" i="1"/>
  <c r="S410" i="1"/>
  <c r="Q410" i="1"/>
  <c r="P410" i="1"/>
  <c r="O410" i="1"/>
  <c r="N410" i="1"/>
  <c r="M410" i="1"/>
  <c r="L410" i="1"/>
  <c r="K410" i="1"/>
  <c r="J410" i="1"/>
  <c r="I410" i="1"/>
  <c r="G410" i="1"/>
  <c r="F410" i="1"/>
  <c r="E410" i="1"/>
  <c r="H409" i="1"/>
  <c r="Y409" i="1" s="1"/>
  <c r="D409" i="1"/>
  <c r="AB408" i="1"/>
  <c r="AA408" i="1"/>
  <c r="X408" i="1"/>
  <c r="W408" i="1"/>
  <c r="V408" i="1"/>
  <c r="U408" i="1"/>
  <c r="T408" i="1"/>
  <c r="S408" i="1"/>
  <c r="R408" i="1"/>
  <c r="Y408" i="1" s="1"/>
  <c r="Q408" i="1"/>
  <c r="P408" i="1"/>
  <c r="O408" i="1"/>
  <c r="N408" i="1"/>
  <c r="M408" i="1"/>
  <c r="L408" i="1"/>
  <c r="K408" i="1"/>
  <c r="J408" i="1"/>
  <c r="I408" i="1"/>
  <c r="G408" i="1"/>
  <c r="F408" i="1"/>
  <c r="E408" i="1"/>
  <c r="D408" i="1"/>
  <c r="AB407" i="1"/>
  <c r="AA407" i="1"/>
  <c r="X407" i="1"/>
  <c r="W407" i="1"/>
  <c r="V407" i="1"/>
  <c r="U407" i="1"/>
  <c r="T407" i="1"/>
  <c r="S407" i="1"/>
  <c r="Q407" i="1"/>
  <c r="P407" i="1"/>
  <c r="O407" i="1"/>
  <c r="N407" i="1"/>
  <c r="M407" i="1"/>
  <c r="L407" i="1"/>
  <c r="K407" i="1"/>
  <c r="J407" i="1"/>
  <c r="I407" i="1"/>
  <c r="H407" i="1"/>
  <c r="Y407" i="1" s="1"/>
  <c r="G407" i="1"/>
  <c r="F407" i="1"/>
  <c r="E407" i="1"/>
  <c r="D407" i="1"/>
  <c r="AB406" i="1"/>
  <c r="AA406" i="1"/>
  <c r="X406" i="1"/>
  <c r="W406" i="1"/>
  <c r="V406" i="1"/>
  <c r="U406" i="1"/>
  <c r="T406" i="1"/>
  <c r="S406" i="1"/>
  <c r="Q406" i="1"/>
  <c r="P406" i="1"/>
  <c r="O406" i="1"/>
  <c r="N406" i="1"/>
  <c r="M406" i="1"/>
  <c r="L406" i="1"/>
  <c r="K406" i="1"/>
  <c r="J406" i="1"/>
  <c r="I406" i="1"/>
  <c r="H406" i="1"/>
  <c r="Y406" i="1" s="1"/>
  <c r="G406" i="1"/>
  <c r="F406" i="1"/>
  <c r="E406" i="1"/>
  <c r="D406" i="1"/>
  <c r="H405" i="1"/>
  <c r="Y405" i="1" s="1"/>
  <c r="D405" i="1"/>
  <c r="AB404" i="1"/>
  <c r="AA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R401" i="1"/>
  <c r="H401" i="1"/>
  <c r="AB399" i="1"/>
  <c r="AA399" i="1"/>
  <c r="Y399" i="1"/>
  <c r="X399" i="1"/>
  <c r="W399" i="1"/>
  <c r="V399" i="1"/>
  <c r="U399" i="1"/>
  <c r="T399" i="1"/>
  <c r="S399" i="1"/>
  <c r="Q399" i="1"/>
  <c r="P399" i="1"/>
  <c r="O399" i="1"/>
  <c r="N399" i="1"/>
  <c r="M399" i="1"/>
  <c r="L399" i="1"/>
  <c r="K399" i="1"/>
  <c r="J399" i="1"/>
  <c r="I399" i="1"/>
  <c r="G399" i="1"/>
  <c r="F399" i="1"/>
  <c r="E399" i="1"/>
  <c r="D399" i="1"/>
  <c r="AB398" i="1"/>
  <c r="AA398" i="1"/>
  <c r="Y398" i="1"/>
  <c r="X398" i="1"/>
  <c r="W398" i="1"/>
  <c r="V398" i="1"/>
  <c r="U398" i="1"/>
  <c r="T398" i="1"/>
  <c r="S398" i="1"/>
  <c r="Q398" i="1"/>
  <c r="P398" i="1"/>
  <c r="O398" i="1"/>
  <c r="N398" i="1"/>
  <c r="M398" i="1"/>
  <c r="L398" i="1"/>
  <c r="K398" i="1"/>
  <c r="J398" i="1"/>
  <c r="I398" i="1"/>
  <c r="G398" i="1"/>
  <c r="F398" i="1"/>
  <c r="E398" i="1"/>
  <c r="D398" i="1"/>
  <c r="AB397" i="1"/>
  <c r="AA397" i="1"/>
  <c r="Y397" i="1"/>
  <c r="X397" i="1"/>
  <c r="W397" i="1"/>
  <c r="V397" i="1"/>
  <c r="U397" i="1"/>
  <c r="T397" i="1"/>
  <c r="S397" i="1"/>
  <c r="Q397" i="1"/>
  <c r="P397" i="1"/>
  <c r="O397" i="1"/>
  <c r="N397" i="1"/>
  <c r="M397" i="1"/>
  <c r="L397" i="1"/>
  <c r="K397" i="1"/>
  <c r="J397" i="1"/>
  <c r="I397" i="1"/>
  <c r="G397" i="1"/>
  <c r="F397" i="1"/>
  <c r="E397" i="1"/>
  <c r="D397" i="1"/>
  <c r="AB396" i="1"/>
  <c r="AA396" i="1"/>
  <c r="Y396" i="1"/>
  <c r="X396" i="1"/>
  <c r="W396" i="1"/>
  <c r="V396" i="1"/>
  <c r="U396" i="1"/>
  <c r="T396" i="1"/>
  <c r="S396" i="1"/>
  <c r="Q396" i="1"/>
  <c r="P396" i="1"/>
  <c r="O396" i="1"/>
  <c r="N396" i="1"/>
  <c r="M396" i="1"/>
  <c r="L396" i="1"/>
  <c r="K396" i="1"/>
  <c r="J396" i="1"/>
  <c r="I396" i="1"/>
  <c r="G396" i="1"/>
  <c r="F396" i="1"/>
  <c r="E396" i="1"/>
  <c r="D396" i="1"/>
  <c r="X392" i="1"/>
  <c r="W392" i="1"/>
  <c r="W453" i="1" s="1"/>
  <c r="V392" i="1"/>
  <c r="U392" i="1"/>
  <c r="T392" i="1"/>
  <c r="S392" i="1"/>
  <c r="R392" i="1"/>
  <c r="Q392" i="1"/>
  <c r="Q453" i="1" s="1"/>
  <c r="P392" i="1"/>
  <c r="O392" i="1"/>
  <c r="N392" i="1"/>
  <c r="M392" i="1"/>
  <c r="M453" i="1" s="1"/>
  <c r="L392" i="1"/>
  <c r="K392" i="1"/>
  <c r="J392" i="1"/>
  <c r="I392" i="1"/>
  <c r="H390" i="1"/>
  <c r="Y390" i="1" s="1"/>
  <c r="D390" i="1"/>
  <c r="H389" i="1"/>
  <c r="Y389" i="1" s="1"/>
  <c r="D389" i="1"/>
  <c r="H388" i="1"/>
  <c r="Y388" i="1" s="1"/>
  <c r="D388" i="1"/>
  <c r="H387" i="1"/>
  <c r="Y387" i="1" s="1"/>
  <c r="Z387" i="1" s="1"/>
  <c r="D387" i="1"/>
  <c r="AB378" i="1"/>
  <c r="AA378" i="1"/>
  <c r="X378" i="1"/>
  <c r="W378" i="1"/>
  <c r="V378" i="1"/>
  <c r="AO451" i="1" s="1"/>
  <c r="U378" i="1"/>
  <c r="T378" i="1"/>
  <c r="S378" i="1"/>
  <c r="Q378" i="1"/>
  <c r="P378" i="1"/>
  <c r="AM451" i="1" s="1"/>
  <c r="O378" i="1"/>
  <c r="AL451" i="1" s="1"/>
  <c r="N378" i="1"/>
  <c r="M378" i="1"/>
  <c r="L378" i="1"/>
  <c r="AJ451" i="1" s="1"/>
  <c r="K378" i="1"/>
  <c r="J378" i="1"/>
  <c r="I378" i="1"/>
  <c r="H378" i="1"/>
  <c r="Y378" i="1" s="1"/>
  <c r="G378" i="1"/>
  <c r="F378" i="1"/>
  <c r="E378" i="1"/>
  <c r="AG451" i="1" s="1"/>
  <c r="D378" i="1"/>
  <c r="AB377" i="1"/>
  <c r="AA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AH451" i="1" s="1"/>
  <c r="E377" i="1"/>
  <c r="D377" i="1"/>
  <c r="AB376" i="1"/>
  <c r="AA376" i="1"/>
  <c r="X376" i="1"/>
  <c r="W376" i="1"/>
  <c r="V376" i="1"/>
  <c r="U376" i="1"/>
  <c r="T376" i="1"/>
  <c r="S376" i="1"/>
  <c r="R376" i="1"/>
  <c r="Y376" i="1" s="1"/>
  <c r="Q376" i="1"/>
  <c r="P376" i="1"/>
  <c r="O376" i="1"/>
  <c r="N376" i="1"/>
  <c r="M376" i="1"/>
  <c r="L376" i="1"/>
  <c r="K376" i="1"/>
  <c r="J376" i="1"/>
  <c r="I376" i="1"/>
  <c r="G376" i="1"/>
  <c r="F376" i="1"/>
  <c r="E376" i="1"/>
  <c r="D376" i="1"/>
  <c r="AB375" i="1"/>
  <c r="AA375" i="1"/>
  <c r="X375" i="1"/>
  <c r="W375" i="1"/>
  <c r="V375" i="1"/>
  <c r="U375" i="1"/>
  <c r="T375" i="1"/>
  <c r="S375" i="1"/>
  <c r="Q375" i="1"/>
  <c r="P375" i="1"/>
  <c r="O375" i="1"/>
  <c r="N375" i="1"/>
  <c r="M375" i="1"/>
  <c r="L375" i="1"/>
  <c r="K375" i="1"/>
  <c r="J375" i="1"/>
  <c r="I375" i="1"/>
  <c r="H375" i="1"/>
  <c r="Y375" i="1" s="1"/>
  <c r="G375" i="1"/>
  <c r="F375" i="1"/>
  <c r="E375" i="1"/>
  <c r="D375" i="1"/>
  <c r="Z375" i="1" s="1"/>
  <c r="AB374" i="1"/>
  <c r="AA374" i="1"/>
  <c r="X374" i="1"/>
  <c r="W374" i="1"/>
  <c r="V374" i="1"/>
  <c r="U374" i="1"/>
  <c r="T374" i="1"/>
  <c r="S374" i="1"/>
  <c r="Q374" i="1"/>
  <c r="P374" i="1"/>
  <c r="O374" i="1"/>
  <c r="N374" i="1"/>
  <c r="M374" i="1"/>
  <c r="L374" i="1"/>
  <c r="K374" i="1"/>
  <c r="J374" i="1"/>
  <c r="I374" i="1"/>
  <c r="H374" i="1"/>
  <c r="Y374" i="1" s="1"/>
  <c r="G374" i="1"/>
  <c r="F374" i="1"/>
  <c r="E374" i="1"/>
  <c r="D374" i="1"/>
  <c r="Z374" i="1" s="1"/>
  <c r="AB373" i="1"/>
  <c r="AA373" i="1"/>
  <c r="X373" i="1"/>
  <c r="W373" i="1"/>
  <c r="V373" i="1"/>
  <c r="U373" i="1"/>
  <c r="T373" i="1"/>
  <c r="S373" i="1"/>
  <c r="Q373" i="1"/>
  <c r="P373" i="1"/>
  <c r="O373" i="1"/>
  <c r="N373" i="1"/>
  <c r="M373" i="1"/>
  <c r="L373" i="1"/>
  <c r="K373" i="1"/>
  <c r="J373" i="1"/>
  <c r="I373" i="1"/>
  <c r="H373" i="1"/>
  <c r="Y373" i="1" s="1"/>
  <c r="G373" i="1"/>
  <c r="F373" i="1"/>
  <c r="E373" i="1"/>
  <c r="D373" i="1"/>
  <c r="AB372" i="1"/>
  <c r="AA372" i="1"/>
  <c r="X372" i="1"/>
  <c r="W372" i="1"/>
  <c r="V372" i="1"/>
  <c r="U372" i="1"/>
  <c r="T372" i="1"/>
  <c r="S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H371" i="1"/>
  <c r="Y371" i="1" s="1"/>
  <c r="D371" i="1"/>
  <c r="AB370" i="1"/>
  <c r="AA370" i="1"/>
  <c r="Y370" i="1"/>
  <c r="Z370" i="1" s="1"/>
  <c r="X370" i="1"/>
  <c r="W370" i="1"/>
  <c r="V370" i="1"/>
  <c r="U370" i="1"/>
  <c r="T370" i="1"/>
  <c r="S370" i="1"/>
  <c r="Q370" i="1"/>
  <c r="P370" i="1"/>
  <c r="AM432" i="1" s="1"/>
  <c r="O370" i="1"/>
  <c r="AL432" i="1" s="1"/>
  <c r="N370" i="1"/>
  <c r="M370" i="1"/>
  <c r="L370" i="1"/>
  <c r="AJ432" i="1" s="1"/>
  <c r="K370" i="1"/>
  <c r="J370" i="1"/>
  <c r="I370" i="1"/>
  <c r="G370" i="1"/>
  <c r="F370" i="1"/>
  <c r="AH432" i="1" s="1"/>
  <c r="E370" i="1"/>
  <c r="AG432" i="1" s="1"/>
  <c r="H369" i="1"/>
  <c r="Y369" i="1" s="1"/>
  <c r="D369" i="1"/>
  <c r="Z369" i="1" s="1"/>
  <c r="H368" i="1"/>
  <c r="Y368" i="1" s="1"/>
  <c r="D368" i="1"/>
  <c r="AB367" i="1"/>
  <c r="AA367" i="1"/>
  <c r="X367" i="1"/>
  <c r="W367" i="1"/>
  <c r="V367" i="1"/>
  <c r="U367" i="1"/>
  <c r="T367" i="1"/>
  <c r="S367" i="1"/>
  <c r="Q367" i="1"/>
  <c r="P367" i="1"/>
  <c r="O367" i="1"/>
  <c r="N367" i="1"/>
  <c r="M367" i="1"/>
  <c r="L367" i="1"/>
  <c r="K367" i="1"/>
  <c r="J367" i="1"/>
  <c r="I367" i="1"/>
  <c r="H367" i="1"/>
  <c r="Y367" i="1" s="1"/>
  <c r="G367" i="1"/>
  <c r="F367" i="1"/>
  <c r="E367" i="1"/>
  <c r="D367" i="1"/>
  <c r="AB366" i="1"/>
  <c r="AA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AB359" i="1"/>
  <c r="AA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G359" i="1"/>
  <c r="F359" i="1"/>
  <c r="E359" i="1"/>
  <c r="D359" i="1"/>
  <c r="AB358" i="1"/>
  <c r="AA358" i="1"/>
  <c r="X358" i="1"/>
  <c r="W358" i="1"/>
  <c r="V358" i="1"/>
  <c r="U358" i="1"/>
  <c r="T358" i="1"/>
  <c r="S358" i="1"/>
  <c r="Q358" i="1"/>
  <c r="P358" i="1"/>
  <c r="O358" i="1"/>
  <c r="N358" i="1"/>
  <c r="M358" i="1"/>
  <c r="L358" i="1"/>
  <c r="K358" i="1"/>
  <c r="J358" i="1"/>
  <c r="I358" i="1"/>
  <c r="H358" i="1"/>
  <c r="Y358" i="1" s="1"/>
  <c r="G358" i="1"/>
  <c r="F358" i="1"/>
  <c r="E358" i="1"/>
  <c r="D358" i="1"/>
  <c r="Z358" i="1" s="1"/>
  <c r="AB357" i="1"/>
  <c r="AA357" i="1"/>
  <c r="X357" i="1"/>
  <c r="W357" i="1"/>
  <c r="V357" i="1"/>
  <c r="U357" i="1"/>
  <c r="T357" i="1"/>
  <c r="S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Y356" i="1"/>
  <c r="D356" i="1"/>
  <c r="H355" i="1"/>
  <c r="Y355" i="1" s="1"/>
  <c r="D355" i="1"/>
  <c r="Y354" i="1"/>
  <c r="H354" i="1"/>
  <c r="D354" i="1"/>
  <c r="AB353" i="1"/>
  <c r="AB361" i="1" s="1"/>
  <c r="AA353" i="1"/>
  <c r="X353" i="1"/>
  <c r="W353" i="1"/>
  <c r="V353" i="1"/>
  <c r="U353" i="1"/>
  <c r="T353" i="1"/>
  <c r="S353" i="1"/>
  <c r="R353" i="1"/>
  <c r="Y353" i="1" s="1"/>
  <c r="Q353" i="1"/>
  <c r="P353" i="1"/>
  <c r="O353" i="1"/>
  <c r="N353" i="1"/>
  <c r="M353" i="1"/>
  <c r="L353" i="1"/>
  <c r="K353" i="1"/>
  <c r="J353" i="1"/>
  <c r="I353" i="1"/>
  <c r="G353" i="1"/>
  <c r="F353" i="1"/>
  <c r="E353" i="1"/>
  <c r="D353" i="1"/>
  <c r="C353" i="1"/>
  <c r="R350" i="1"/>
  <c r="AB348" i="1"/>
  <c r="AA348" i="1"/>
  <c r="Y348" i="1"/>
  <c r="X348" i="1"/>
  <c r="W348" i="1"/>
  <c r="V348" i="1"/>
  <c r="U348" i="1"/>
  <c r="T348" i="1"/>
  <c r="S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Z348" i="1" s="1"/>
  <c r="AB347" i="1"/>
  <c r="AA347" i="1"/>
  <c r="Y347" i="1"/>
  <c r="X347" i="1"/>
  <c r="W347" i="1"/>
  <c r="V347" i="1"/>
  <c r="U347" i="1"/>
  <c r="T347" i="1"/>
  <c r="S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Z347" i="1" s="1"/>
  <c r="H346" i="1"/>
  <c r="Y346" i="1" s="1"/>
  <c r="D346" i="1"/>
  <c r="H345" i="1"/>
  <c r="Y345" i="1" s="1"/>
  <c r="D345" i="1"/>
  <c r="H344" i="1"/>
  <c r="Y344" i="1" s="1"/>
  <c r="D344" i="1"/>
  <c r="AB343" i="1"/>
  <c r="AA343" i="1"/>
  <c r="Y343" i="1"/>
  <c r="X343" i="1"/>
  <c r="W343" i="1"/>
  <c r="V343" i="1"/>
  <c r="U343" i="1"/>
  <c r="T343" i="1"/>
  <c r="S343" i="1"/>
  <c r="Q343" i="1"/>
  <c r="P343" i="1"/>
  <c r="O343" i="1"/>
  <c r="N343" i="1"/>
  <c r="M343" i="1"/>
  <c r="L343" i="1"/>
  <c r="K343" i="1"/>
  <c r="J343" i="1"/>
  <c r="I343" i="1"/>
  <c r="G343" i="1"/>
  <c r="F343" i="1"/>
  <c r="E343" i="1"/>
  <c r="D343" i="1"/>
  <c r="AB337" i="1"/>
  <c r="AA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AF439" i="1" s="1"/>
  <c r="AB336" i="1"/>
  <c r="AA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AB335" i="1"/>
  <c r="AA335" i="1"/>
  <c r="X335" i="1"/>
  <c r="W335" i="1"/>
  <c r="V335" i="1"/>
  <c r="U335" i="1"/>
  <c r="T335" i="1"/>
  <c r="S335" i="1"/>
  <c r="Q335" i="1"/>
  <c r="P335" i="1"/>
  <c r="O335" i="1"/>
  <c r="N335" i="1"/>
  <c r="M335" i="1"/>
  <c r="L335" i="1"/>
  <c r="K335" i="1"/>
  <c r="J335" i="1"/>
  <c r="I335" i="1"/>
  <c r="H335" i="1"/>
  <c r="Y335" i="1" s="1"/>
  <c r="G335" i="1"/>
  <c r="F335" i="1"/>
  <c r="E335" i="1"/>
  <c r="D335" i="1"/>
  <c r="AB334" i="1"/>
  <c r="AA334" i="1"/>
  <c r="X334" i="1"/>
  <c r="W334" i="1"/>
  <c r="V334" i="1"/>
  <c r="U334" i="1"/>
  <c r="T334" i="1"/>
  <c r="S334" i="1"/>
  <c r="Q334" i="1"/>
  <c r="P334" i="1"/>
  <c r="O334" i="1"/>
  <c r="N334" i="1"/>
  <c r="M334" i="1"/>
  <c r="L334" i="1"/>
  <c r="K334" i="1"/>
  <c r="J334" i="1"/>
  <c r="I334" i="1"/>
  <c r="H334" i="1"/>
  <c r="Y334" i="1" s="1"/>
  <c r="G334" i="1"/>
  <c r="F334" i="1"/>
  <c r="AH430" i="1" s="1"/>
  <c r="E334" i="1"/>
  <c r="D334" i="1"/>
  <c r="AB333" i="1"/>
  <c r="AA333" i="1"/>
  <c r="Y333" i="1"/>
  <c r="Z333" i="1" s="1"/>
  <c r="X333" i="1"/>
  <c r="W333" i="1"/>
  <c r="V333" i="1"/>
  <c r="U333" i="1"/>
  <c r="T333" i="1"/>
  <c r="S333" i="1"/>
  <c r="Q333" i="1"/>
  <c r="P333" i="1"/>
  <c r="O333" i="1"/>
  <c r="N333" i="1"/>
  <c r="M333" i="1"/>
  <c r="L333" i="1"/>
  <c r="K333" i="1"/>
  <c r="J333" i="1"/>
  <c r="I333" i="1"/>
  <c r="G333" i="1"/>
  <c r="F333" i="1"/>
  <c r="E333" i="1"/>
  <c r="H332" i="1"/>
  <c r="Y332" i="1" s="1"/>
  <c r="D332" i="1"/>
  <c r="AB331" i="1"/>
  <c r="AA331" i="1"/>
  <c r="X331" i="1"/>
  <c r="W331" i="1"/>
  <c r="V331" i="1"/>
  <c r="U331" i="1"/>
  <c r="T331" i="1"/>
  <c r="S331" i="1"/>
  <c r="Q331" i="1"/>
  <c r="P331" i="1"/>
  <c r="O331" i="1"/>
  <c r="N331" i="1"/>
  <c r="M331" i="1"/>
  <c r="L331" i="1"/>
  <c r="K331" i="1"/>
  <c r="J331" i="1"/>
  <c r="I331" i="1"/>
  <c r="H331" i="1"/>
  <c r="Y331" i="1" s="1"/>
  <c r="G331" i="1"/>
  <c r="F331" i="1"/>
  <c r="E331" i="1"/>
  <c r="D331" i="1"/>
  <c r="AB330" i="1"/>
  <c r="AA330" i="1"/>
  <c r="X330" i="1"/>
  <c r="W330" i="1"/>
  <c r="V330" i="1"/>
  <c r="U330" i="1"/>
  <c r="T330" i="1"/>
  <c r="S330" i="1"/>
  <c r="Q330" i="1"/>
  <c r="P330" i="1"/>
  <c r="O330" i="1"/>
  <c r="N330" i="1"/>
  <c r="M330" i="1"/>
  <c r="L330" i="1"/>
  <c r="K330" i="1"/>
  <c r="J330" i="1"/>
  <c r="I330" i="1"/>
  <c r="H330" i="1"/>
  <c r="Y330" i="1" s="1"/>
  <c r="G330" i="1"/>
  <c r="F330" i="1"/>
  <c r="E330" i="1"/>
  <c r="D330" i="1"/>
  <c r="AB329" i="1"/>
  <c r="AA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AB324" i="1"/>
  <c r="AA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AB323" i="1"/>
  <c r="AA323" i="1"/>
  <c r="X323" i="1"/>
  <c r="W323" i="1"/>
  <c r="V323" i="1"/>
  <c r="AO448" i="1" s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AB322" i="1"/>
  <c r="AA322" i="1"/>
  <c r="X322" i="1"/>
  <c r="W322" i="1"/>
  <c r="V322" i="1"/>
  <c r="U322" i="1"/>
  <c r="T322" i="1"/>
  <c r="S322" i="1"/>
  <c r="Q322" i="1"/>
  <c r="P322" i="1"/>
  <c r="O322" i="1"/>
  <c r="N322" i="1"/>
  <c r="M322" i="1"/>
  <c r="L322" i="1"/>
  <c r="K322" i="1"/>
  <c r="J322" i="1"/>
  <c r="I322" i="1"/>
  <c r="H322" i="1"/>
  <c r="Y322" i="1" s="1"/>
  <c r="G322" i="1"/>
  <c r="F322" i="1"/>
  <c r="E322" i="1"/>
  <c r="D322" i="1"/>
  <c r="AB321" i="1"/>
  <c r="AA321" i="1"/>
  <c r="X321" i="1"/>
  <c r="W321" i="1"/>
  <c r="V321" i="1"/>
  <c r="U321" i="1"/>
  <c r="T321" i="1"/>
  <c r="S321" i="1"/>
  <c r="Q321" i="1"/>
  <c r="P321" i="1"/>
  <c r="O321" i="1"/>
  <c r="N321" i="1"/>
  <c r="M321" i="1"/>
  <c r="L321" i="1"/>
  <c r="K321" i="1"/>
  <c r="J321" i="1"/>
  <c r="I321" i="1"/>
  <c r="H321" i="1"/>
  <c r="Y321" i="1" s="1"/>
  <c r="G321" i="1"/>
  <c r="F321" i="1"/>
  <c r="E321" i="1"/>
  <c r="D321" i="1"/>
  <c r="AB320" i="1"/>
  <c r="AA320" i="1"/>
  <c r="X320" i="1"/>
  <c r="W320" i="1"/>
  <c r="V320" i="1"/>
  <c r="U320" i="1"/>
  <c r="T320" i="1"/>
  <c r="S320" i="1"/>
  <c r="Q320" i="1"/>
  <c r="P320" i="1"/>
  <c r="O320" i="1"/>
  <c r="N320" i="1"/>
  <c r="M320" i="1"/>
  <c r="L320" i="1"/>
  <c r="K320" i="1"/>
  <c r="J320" i="1"/>
  <c r="I320" i="1"/>
  <c r="H320" i="1"/>
  <c r="Y320" i="1" s="1"/>
  <c r="G320" i="1"/>
  <c r="F320" i="1"/>
  <c r="E320" i="1"/>
  <c r="D320" i="1"/>
  <c r="H319" i="1"/>
  <c r="Y319" i="1" s="1"/>
  <c r="D319" i="1"/>
  <c r="Y318" i="1"/>
  <c r="H318" i="1"/>
  <c r="D318" i="1"/>
  <c r="AB317" i="1"/>
  <c r="AA317" i="1"/>
  <c r="X317" i="1"/>
  <c r="W317" i="1"/>
  <c r="V317" i="1"/>
  <c r="U317" i="1"/>
  <c r="T317" i="1"/>
  <c r="S317" i="1"/>
  <c r="Q317" i="1"/>
  <c r="P317" i="1"/>
  <c r="O317" i="1"/>
  <c r="N317" i="1"/>
  <c r="M317" i="1"/>
  <c r="L317" i="1"/>
  <c r="K317" i="1"/>
  <c r="J317" i="1"/>
  <c r="I317" i="1"/>
  <c r="H317" i="1"/>
  <c r="Y317" i="1" s="1"/>
  <c r="G317" i="1"/>
  <c r="F317" i="1"/>
  <c r="E317" i="1"/>
  <c r="D317" i="1"/>
  <c r="AB316" i="1"/>
  <c r="AA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AB309" i="1"/>
  <c r="AA309" i="1"/>
  <c r="X309" i="1"/>
  <c r="W309" i="1"/>
  <c r="V309" i="1"/>
  <c r="U309" i="1"/>
  <c r="T309" i="1"/>
  <c r="S309" i="1"/>
  <c r="R309" i="1"/>
  <c r="Y309" i="1" s="1"/>
  <c r="Q309" i="1"/>
  <c r="P309" i="1"/>
  <c r="O309" i="1"/>
  <c r="N309" i="1"/>
  <c r="M309" i="1"/>
  <c r="L309" i="1"/>
  <c r="K309" i="1"/>
  <c r="J309" i="1"/>
  <c r="I309" i="1"/>
  <c r="G309" i="1"/>
  <c r="F309" i="1"/>
  <c r="E309" i="1"/>
  <c r="D309" i="1"/>
  <c r="AB308" i="1"/>
  <c r="AA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G308" i="1"/>
  <c r="F308" i="1"/>
  <c r="E308" i="1"/>
  <c r="D308" i="1"/>
  <c r="AB307" i="1"/>
  <c r="AA307" i="1"/>
  <c r="X307" i="1"/>
  <c r="W307" i="1"/>
  <c r="V307" i="1"/>
  <c r="U307" i="1"/>
  <c r="T307" i="1"/>
  <c r="S307" i="1"/>
  <c r="Q307" i="1"/>
  <c r="P307" i="1"/>
  <c r="O307" i="1"/>
  <c r="N307" i="1"/>
  <c r="M307" i="1"/>
  <c r="L307" i="1"/>
  <c r="K307" i="1"/>
  <c r="J307" i="1"/>
  <c r="I307" i="1"/>
  <c r="H307" i="1"/>
  <c r="Y307" i="1" s="1"/>
  <c r="G307" i="1"/>
  <c r="F307" i="1"/>
  <c r="E307" i="1"/>
  <c r="D307" i="1"/>
  <c r="AB306" i="1"/>
  <c r="AA306" i="1"/>
  <c r="X306" i="1"/>
  <c r="W306" i="1"/>
  <c r="V306" i="1"/>
  <c r="U306" i="1"/>
  <c r="T306" i="1"/>
  <c r="S306" i="1"/>
  <c r="Q306" i="1"/>
  <c r="P306" i="1"/>
  <c r="O306" i="1"/>
  <c r="N306" i="1"/>
  <c r="M306" i="1"/>
  <c r="L306" i="1"/>
  <c r="K306" i="1"/>
  <c r="J306" i="1"/>
  <c r="I306" i="1"/>
  <c r="H306" i="1"/>
  <c r="Y306" i="1" s="1"/>
  <c r="G306" i="1"/>
  <c r="F306" i="1"/>
  <c r="E306" i="1"/>
  <c r="D306" i="1"/>
  <c r="AB305" i="1"/>
  <c r="AA305" i="1"/>
  <c r="X305" i="1"/>
  <c r="W305" i="1"/>
  <c r="V305" i="1"/>
  <c r="U305" i="1"/>
  <c r="T305" i="1"/>
  <c r="S305" i="1"/>
  <c r="Q305" i="1"/>
  <c r="P305" i="1"/>
  <c r="O305" i="1"/>
  <c r="N305" i="1"/>
  <c r="M305" i="1"/>
  <c r="L305" i="1"/>
  <c r="K305" i="1"/>
  <c r="J305" i="1"/>
  <c r="I305" i="1"/>
  <c r="H305" i="1"/>
  <c r="Y305" i="1" s="1"/>
  <c r="G305" i="1"/>
  <c r="F305" i="1"/>
  <c r="E305" i="1"/>
  <c r="D305" i="1"/>
  <c r="H304" i="1"/>
  <c r="Y304" i="1" s="1"/>
  <c r="D304" i="1"/>
  <c r="H303" i="1"/>
  <c r="Y303" i="1" s="1"/>
  <c r="D303" i="1"/>
  <c r="AB302" i="1"/>
  <c r="AA302" i="1"/>
  <c r="X302" i="1"/>
  <c r="W302" i="1"/>
  <c r="V302" i="1"/>
  <c r="U302" i="1"/>
  <c r="T302" i="1"/>
  <c r="S302" i="1"/>
  <c r="Q302" i="1"/>
  <c r="P302" i="1"/>
  <c r="O302" i="1"/>
  <c r="N302" i="1"/>
  <c r="M302" i="1"/>
  <c r="L302" i="1"/>
  <c r="K302" i="1"/>
  <c r="J302" i="1"/>
  <c r="I302" i="1"/>
  <c r="H302" i="1"/>
  <c r="Y302" i="1" s="1"/>
  <c r="G302" i="1"/>
  <c r="F302" i="1"/>
  <c r="E302" i="1"/>
  <c r="D302" i="1"/>
  <c r="Y301" i="1"/>
  <c r="H301" i="1"/>
  <c r="D301" i="1"/>
  <c r="AB300" i="1"/>
  <c r="AA300" i="1"/>
  <c r="X300" i="1"/>
  <c r="W300" i="1"/>
  <c r="V300" i="1"/>
  <c r="U300" i="1"/>
  <c r="T300" i="1"/>
  <c r="S300" i="1"/>
  <c r="Q300" i="1"/>
  <c r="P300" i="1"/>
  <c r="O300" i="1"/>
  <c r="N300" i="1"/>
  <c r="M300" i="1"/>
  <c r="L300" i="1"/>
  <c r="K300" i="1"/>
  <c r="J300" i="1"/>
  <c r="I300" i="1"/>
  <c r="H300" i="1"/>
  <c r="Y300" i="1" s="1"/>
  <c r="G300" i="1"/>
  <c r="F300" i="1"/>
  <c r="E300" i="1"/>
  <c r="D300" i="1"/>
  <c r="AB299" i="1"/>
  <c r="AA299" i="1"/>
  <c r="Z299" i="1"/>
  <c r="X299" i="1"/>
  <c r="W299" i="1"/>
  <c r="V299" i="1"/>
  <c r="U299" i="1"/>
  <c r="T299" i="1"/>
  <c r="S299" i="1"/>
  <c r="R299" i="1"/>
  <c r="Y299" i="1" s="1"/>
  <c r="Q299" i="1"/>
  <c r="P299" i="1"/>
  <c r="O299" i="1"/>
  <c r="N299" i="1"/>
  <c r="M299" i="1"/>
  <c r="L299" i="1"/>
  <c r="K299" i="1"/>
  <c r="J299" i="1"/>
  <c r="I299" i="1"/>
  <c r="G299" i="1"/>
  <c r="F299" i="1"/>
  <c r="E299" i="1"/>
  <c r="D299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AG444" i="1" s="1"/>
  <c r="D292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AB290" i="1"/>
  <c r="AA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AB285" i="1"/>
  <c r="AA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G285" i="1"/>
  <c r="F285" i="1"/>
  <c r="E285" i="1"/>
  <c r="AB284" i="1"/>
  <c r="AA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G283" i="1"/>
  <c r="F283" i="1"/>
  <c r="E283" i="1"/>
  <c r="H282" i="1"/>
  <c r="Y282" i="1" s="1"/>
  <c r="D282" i="1"/>
  <c r="Y281" i="1"/>
  <c r="Z281" i="1" s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AM431" i="1" s="1"/>
  <c r="O280" i="1"/>
  <c r="AL431" i="1" s="1"/>
  <c r="N280" i="1"/>
  <c r="M280" i="1"/>
  <c r="L280" i="1"/>
  <c r="AJ431" i="1" s="1"/>
  <c r="K280" i="1"/>
  <c r="J280" i="1"/>
  <c r="I280" i="1"/>
  <c r="H280" i="1"/>
  <c r="G280" i="1"/>
  <c r="F280" i="1"/>
  <c r="AH431" i="1" s="1"/>
  <c r="E280" i="1"/>
  <c r="AG431" i="1" s="1"/>
  <c r="D280" i="1"/>
  <c r="AF431" i="1" s="1"/>
  <c r="H279" i="1"/>
  <c r="Y279" i="1" s="1"/>
  <c r="D279" i="1"/>
  <c r="H278" i="1"/>
  <c r="Y278" i="1" s="1"/>
  <c r="D278" i="1"/>
  <c r="H277" i="1"/>
  <c r="Y277" i="1" s="1"/>
  <c r="D277" i="1"/>
  <c r="H276" i="1"/>
  <c r="Y276" i="1" s="1"/>
  <c r="D276" i="1"/>
  <c r="H275" i="1"/>
  <c r="Y275" i="1" s="1"/>
  <c r="D275" i="1"/>
  <c r="AB274" i="1"/>
  <c r="AA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Y273" i="1"/>
  <c r="D273" i="1"/>
  <c r="H272" i="1"/>
  <c r="Y272" i="1" s="1"/>
  <c r="D272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AB270" i="1"/>
  <c r="AA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R263" i="1"/>
  <c r="AB261" i="1"/>
  <c r="Y261" i="1"/>
  <c r="Z261" i="1" s="1"/>
  <c r="X261" i="1"/>
  <c r="W261" i="1"/>
  <c r="V261" i="1"/>
  <c r="U261" i="1"/>
  <c r="T261" i="1"/>
  <c r="S261" i="1"/>
  <c r="Q261" i="1"/>
  <c r="P261" i="1"/>
  <c r="O261" i="1"/>
  <c r="N261" i="1"/>
  <c r="M261" i="1"/>
  <c r="L261" i="1"/>
  <c r="K261" i="1"/>
  <c r="J261" i="1"/>
  <c r="I261" i="1"/>
  <c r="G261" i="1"/>
  <c r="F261" i="1"/>
  <c r="E261" i="1"/>
  <c r="H260" i="1"/>
  <c r="Y260" i="1" s="1"/>
  <c r="D260" i="1"/>
  <c r="Y259" i="1"/>
  <c r="H259" i="1"/>
  <c r="D259" i="1"/>
  <c r="AF258" i="1"/>
  <c r="AB258" i="1"/>
  <c r="X258" i="1"/>
  <c r="W258" i="1"/>
  <c r="V258" i="1"/>
  <c r="U258" i="1"/>
  <c r="T258" i="1"/>
  <c r="S258" i="1"/>
  <c r="Q258" i="1"/>
  <c r="P258" i="1"/>
  <c r="O258" i="1"/>
  <c r="N258" i="1"/>
  <c r="M258" i="1"/>
  <c r="L258" i="1"/>
  <c r="K258" i="1"/>
  <c r="J258" i="1"/>
  <c r="I258" i="1"/>
  <c r="H258" i="1"/>
  <c r="Y258" i="1" s="1"/>
  <c r="G258" i="1"/>
  <c r="F258" i="1"/>
  <c r="E258" i="1"/>
  <c r="D258" i="1"/>
  <c r="AS257" i="1"/>
  <c r="AB257" i="1"/>
  <c r="AA257" i="1"/>
  <c r="X257" i="1"/>
  <c r="W257" i="1"/>
  <c r="V257" i="1"/>
  <c r="U257" i="1"/>
  <c r="T257" i="1"/>
  <c r="S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AB252" i="1"/>
  <c r="AA252" i="1"/>
  <c r="X252" i="1"/>
  <c r="W252" i="1"/>
  <c r="V252" i="1"/>
  <c r="U252" i="1"/>
  <c r="T252" i="1"/>
  <c r="S252" i="1"/>
  <c r="R252" i="1"/>
  <c r="Y252" i="1" s="1"/>
  <c r="Z252" i="1" s="1"/>
  <c r="Q252" i="1"/>
  <c r="P252" i="1"/>
  <c r="O252" i="1"/>
  <c r="N252" i="1"/>
  <c r="M252" i="1"/>
  <c r="L252" i="1"/>
  <c r="K252" i="1"/>
  <c r="J252" i="1"/>
  <c r="I252" i="1"/>
  <c r="G252" i="1"/>
  <c r="F252" i="1"/>
  <c r="E252" i="1"/>
  <c r="D252" i="1"/>
  <c r="AB251" i="1"/>
  <c r="AA251" i="1"/>
  <c r="X251" i="1"/>
  <c r="W251" i="1"/>
  <c r="V251" i="1"/>
  <c r="U251" i="1"/>
  <c r="T251" i="1"/>
  <c r="S251" i="1"/>
  <c r="R251" i="1"/>
  <c r="Y251" i="1" s="1"/>
  <c r="Q251" i="1"/>
  <c r="P251" i="1"/>
  <c r="O251" i="1"/>
  <c r="N251" i="1"/>
  <c r="M251" i="1"/>
  <c r="L251" i="1"/>
  <c r="K251" i="1"/>
  <c r="J251" i="1"/>
  <c r="I251" i="1"/>
  <c r="G251" i="1"/>
  <c r="F251" i="1"/>
  <c r="E251" i="1"/>
  <c r="D251" i="1"/>
  <c r="AB250" i="1"/>
  <c r="AA250" i="1"/>
  <c r="X250" i="1"/>
  <c r="W250" i="1"/>
  <c r="V250" i="1"/>
  <c r="U250" i="1"/>
  <c r="T250" i="1"/>
  <c r="S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AB249" i="1"/>
  <c r="AA249" i="1"/>
  <c r="X249" i="1"/>
  <c r="W249" i="1"/>
  <c r="V249" i="1"/>
  <c r="U249" i="1"/>
  <c r="T249" i="1"/>
  <c r="S249" i="1"/>
  <c r="Q249" i="1"/>
  <c r="P249" i="1"/>
  <c r="O249" i="1"/>
  <c r="N249" i="1"/>
  <c r="M249" i="1"/>
  <c r="L249" i="1"/>
  <c r="K249" i="1"/>
  <c r="J249" i="1"/>
  <c r="I249" i="1"/>
  <c r="H249" i="1"/>
  <c r="Y249" i="1" s="1"/>
  <c r="G249" i="1"/>
  <c r="F249" i="1"/>
  <c r="E249" i="1"/>
  <c r="D249" i="1"/>
  <c r="AB248" i="1"/>
  <c r="AA248" i="1"/>
  <c r="X248" i="1"/>
  <c r="W248" i="1"/>
  <c r="V248" i="1"/>
  <c r="U248" i="1"/>
  <c r="T248" i="1"/>
  <c r="S248" i="1"/>
  <c r="R248" i="1"/>
  <c r="Y248" i="1" s="1"/>
  <c r="Q248" i="1"/>
  <c r="P248" i="1"/>
  <c r="O248" i="1"/>
  <c r="N248" i="1"/>
  <c r="M248" i="1"/>
  <c r="L248" i="1"/>
  <c r="K248" i="1"/>
  <c r="J248" i="1"/>
  <c r="I248" i="1"/>
  <c r="G248" i="1"/>
  <c r="F248" i="1"/>
  <c r="E248" i="1"/>
  <c r="D248" i="1"/>
  <c r="AB243" i="1"/>
  <c r="AA243" i="1"/>
  <c r="X243" i="1"/>
  <c r="W243" i="1"/>
  <c r="V243" i="1"/>
  <c r="AO262" i="1" s="1"/>
  <c r="U243" i="1"/>
  <c r="T243" i="1"/>
  <c r="S243" i="1"/>
  <c r="Q243" i="1"/>
  <c r="P243" i="1"/>
  <c r="AM262" i="1" s="1"/>
  <c r="O243" i="1"/>
  <c r="AL262" i="1" s="1"/>
  <c r="N243" i="1"/>
  <c r="M243" i="1"/>
  <c r="L243" i="1"/>
  <c r="AJ262" i="1" s="1"/>
  <c r="K243" i="1"/>
  <c r="J243" i="1"/>
  <c r="I243" i="1"/>
  <c r="H243" i="1"/>
  <c r="Y243" i="1" s="1"/>
  <c r="G243" i="1"/>
  <c r="F243" i="1"/>
  <c r="AH262" i="1" s="1"/>
  <c r="E243" i="1"/>
  <c r="AG262" i="1" s="1"/>
  <c r="D243" i="1"/>
  <c r="AF262" i="1" s="1"/>
  <c r="AB242" i="1"/>
  <c r="AA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AB241" i="1"/>
  <c r="AA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AB240" i="1"/>
  <c r="AA240" i="1"/>
  <c r="X240" i="1"/>
  <c r="W240" i="1"/>
  <c r="V240" i="1"/>
  <c r="AO257" i="1" s="1"/>
  <c r="U240" i="1"/>
  <c r="T240" i="1"/>
  <c r="S240" i="1"/>
  <c r="Q240" i="1"/>
  <c r="P240" i="1"/>
  <c r="AM257" i="1" s="1"/>
  <c r="O240" i="1"/>
  <c r="AL257" i="1" s="1"/>
  <c r="N240" i="1"/>
  <c r="M240" i="1"/>
  <c r="L240" i="1"/>
  <c r="AJ257" i="1" s="1"/>
  <c r="K240" i="1"/>
  <c r="J240" i="1"/>
  <c r="I240" i="1"/>
  <c r="H240" i="1"/>
  <c r="Y240" i="1" s="1"/>
  <c r="G240" i="1"/>
  <c r="F240" i="1"/>
  <c r="AH257" i="1" s="1"/>
  <c r="E240" i="1"/>
  <c r="AG257" i="1" s="1"/>
  <c r="D240" i="1"/>
  <c r="AF257" i="1" s="1"/>
  <c r="AB239" i="1"/>
  <c r="AA239" i="1"/>
  <c r="X239" i="1"/>
  <c r="W239" i="1"/>
  <c r="V239" i="1"/>
  <c r="U239" i="1"/>
  <c r="T239" i="1"/>
  <c r="S239" i="1"/>
  <c r="R239" i="1"/>
  <c r="Y239" i="1" s="1"/>
  <c r="Z239" i="1" s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AB238" i="1"/>
  <c r="AA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AB237" i="1"/>
  <c r="AA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Y237" i="1" s="1"/>
  <c r="G237" i="1"/>
  <c r="F237" i="1"/>
  <c r="E237" i="1"/>
  <c r="D237" i="1"/>
  <c r="Z237" i="1" s="1"/>
  <c r="AB236" i="1"/>
  <c r="AA236" i="1"/>
  <c r="X236" i="1"/>
  <c r="W236" i="1"/>
  <c r="V236" i="1"/>
  <c r="U236" i="1"/>
  <c r="T236" i="1"/>
  <c r="S236" i="1"/>
  <c r="R236" i="1"/>
  <c r="Y236" i="1" s="1"/>
  <c r="Q236" i="1"/>
  <c r="P236" i="1"/>
  <c r="O236" i="1"/>
  <c r="N236" i="1"/>
  <c r="M236" i="1"/>
  <c r="L236" i="1"/>
  <c r="K236" i="1"/>
  <c r="J236" i="1"/>
  <c r="I236" i="1"/>
  <c r="G236" i="1"/>
  <c r="F236" i="1"/>
  <c r="E236" i="1"/>
  <c r="D236" i="1"/>
  <c r="AB231" i="1"/>
  <c r="AA231" i="1"/>
  <c r="X231" i="1"/>
  <c r="W231" i="1"/>
  <c r="V231" i="1"/>
  <c r="U231" i="1"/>
  <c r="T231" i="1"/>
  <c r="S231" i="1"/>
  <c r="Q231" i="1"/>
  <c r="P231" i="1"/>
  <c r="O231" i="1"/>
  <c r="N231" i="1"/>
  <c r="M231" i="1"/>
  <c r="L231" i="1"/>
  <c r="K231" i="1"/>
  <c r="J231" i="1"/>
  <c r="I231" i="1"/>
  <c r="H231" i="1"/>
  <c r="Y231" i="1" s="1"/>
  <c r="G231" i="1"/>
  <c r="F231" i="1"/>
  <c r="E231" i="1"/>
  <c r="D231" i="1"/>
  <c r="AB230" i="1"/>
  <c r="AA230" i="1"/>
  <c r="X230" i="1"/>
  <c r="W230" i="1"/>
  <c r="V230" i="1"/>
  <c r="U230" i="1"/>
  <c r="T230" i="1"/>
  <c r="S230" i="1"/>
  <c r="R230" i="1"/>
  <c r="R233" i="1" s="1"/>
  <c r="Q230" i="1"/>
  <c r="P230" i="1"/>
  <c r="O230" i="1"/>
  <c r="N230" i="1"/>
  <c r="M230" i="1"/>
  <c r="L230" i="1"/>
  <c r="K230" i="1"/>
  <c r="J230" i="1"/>
  <c r="I230" i="1"/>
  <c r="G230" i="1"/>
  <c r="F230" i="1"/>
  <c r="E230" i="1"/>
  <c r="D230" i="1"/>
  <c r="AB229" i="1"/>
  <c r="AA229" i="1"/>
  <c r="Y229" i="1"/>
  <c r="X229" i="1"/>
  <c r="W229" i="1"/>
  <c r="V229" i="1"/>
  <c r="U229" i="1"/>
  <c r="T229" i="1"/>
  <c r="S229" i="1"/>
  <c r="Q229" i="1"/>
  <c r="P229" i="1"/>
  <c r="O229" i="1"/>
  <c r="N229" i="1"/>
  <c r="M229" i="1"/>
  <c r="L229" i="1"/>
  <c r="K229" i="1"/>
  <c r="J229" i="1"/>
  <c r="I229" i="1"/>
  <c r="G229" i="1"/>
  <c r="F229" i="1"/>
  <c r="E229" i="1"/>
  <c r="D229" i="1"/>
  <c r="H228" i="1"/>
  <c r="Y228" i="1" s="1"/>
  <c r="D228" i="1"/>
  <c r="H227" i="1"/>
  <c r="Y227" i="1" s="1"/>
  <c r="D227" i="1"/>
  <c r="H226" i="1"/>
  <c r="Y226" i="1" s="1"/>
  <c r="D226" i="1"/>
  <c r="AB225" i="1"/>
  <c r="AA225" i="1"/>
  <c r="X225" i="1"/>
  <c r="W225" i="1"/>
  <c r="V225" i="1"/>
  <c r="U225" i="1"/>
  <c r="T225" i="1"/>
  <c r="S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AB224" i="1"/>
  <c r="AA224" i="1"/>
  <c r="AA233" i="1" s="1"/>
  <c r="Y224" i="1"/>
  <c r="Z224" i="1" s="1"/>
  <c r="X224" i="1"/>
  <c r="W224" i="1"/>
  <c r="V224" i="1"/>
  <c r="U224" i="1"/>
  <c r="T224" i="1"/>
  <c r="S224" i="1"/>
  <c r="Q224" i="1"/>
  <c r="P224" i="1"/>
  <c r="O224" i="1"/>
  <c r="N224" i="1"/>
  <c r="M224" i="1"/>
  <c r="L224" i="1"/>
  <c r="K224" i="1"/>
  <c r="J224" i="1"/>
  <c r="I224" i="1"/>
  <c r="G224" i="1"/>
  <c r="F224" i="1"/>
  <c r="E224" i="1"/>
  <c r="AB216" i="1"/>
  <c r="AA216" i="1"/>
  <c r="Z216" i="1"/>
  <c r="Y216" i="1"/>
  <c r="X216" i="1"/>
  <c r="W216" i="1"/>
  <c r="V216" i="1"/>
  <c r="U216" i="1"/>
  <c r="T216" i="1"/>
  <c r="S216" i="1"/>
  <c r="Q216" i="1"/>
  <c r="P216" i="1"/>
  <c r="O216" i="1"/>
  <c r="N216" i="1"/>
  <c r="M216" i="1"/>
  <c r="L216" i="1"/>
  <c r="K216" i="1"/>
  <c r="J216" i="1"/>
  <c r="I216" i="1"/>
  <c r="G216" i="1"/>
  <c r="F216" i="1"/>
  <c r="E216" i="1"/>
  <c r="D216" i="1"/>
  <c r="AF263" i="1" s="1"/>
  <c r="AB215" i="1"/>
  <c r="AA215" i="1"/>
  <c r="X215" i="1"/>
  <c r="W215" i="1"/>
  <c r="V215" i="1"/>
  <c r="U215" i="1"/>
  <c r="T215" i="1"/>
  <c r="S215" i="1"/>
  <c r="Q215" i="1"/>
  <c r="P215" i="1"/>
  <c r="AM261" i="1" s="1"/>
  <c r="O215" i="1"/>
  <c r="N215" i="1"/>
  <c r="M215" i="1"/>
  <c r="L215" i="1"/>
  <c r="AJ261" i="1" s="1"/>
  <c r="K215" i="1"/>
  <c r="J215" i="1"/>
  <c r="I215" i="1"/>
  <c r="H215" i="1"/>
  <c r="Y215" i="1" s="1"/>
  <c r="G215" i="1"/>
  <c r="F215" i="1"/>
  <c r="E215" i="1"/>
  <c r="D215" i="1"/>
  <c r="H214" i="1"/>
  <c r="Y214" i="1" s="1"/>
  <c r="Z214" i="1" s="1"/>
  <c r="D214" i="1"/>
  <c r="AB213" i="1"/>
  <c r="AA213" i="1"/>
  <c r="X213" i="1"/>
  <c r="W213" i="1"/>
  <c r="V213" i="1"/>
  <c r="U213" i="1"/>
  <c r="T213" i="1"/>
  <c r="S213" i="1"/>
  <c r="Q213" i="1"/>
  <c r="P213" i="1"/>
  <c r="O213" i="1"/>
  <c r="N213" i="1"/>
  <c r="M213" i="1"/>
  <c r="L213" i="1"/>
  <c r="K213" i="1"/>
  <c r="J213" i="1"/>
  <c r="I213" i="1"/>
  <c r="H213" i="1"/>
  <c r="Y213" i="1" s="1"/>
  <c r="G213" i="1"/>
  <c r="F213" i="1"/>
  <c r="E213" i="1"/>
  <c r="D213" i="1"/>
  <c r="Y212" i="1"/>
  <c r="H212" i="1"/>
  <c r="D212" i="1"/>
  <c r="H211" i="1"/>
  <c r="Y211" i="1" s="1"/>
  <c r="D211" i="1"/>
  <c r="D210" i="1"/>
  <c r="H210" i="1" s="1"/>
  <c r="Y210" i="1" s="1"/>
  <c r="H209" i="1"/>
  <c r="Y209" i="1" s="1"/>
  <c r="D209" i="1"/>
  <c r="AB208" i="1"/>
  <c r="AA208" i="1"/>
  <c r="X208" i="1"/>
  <c r="W208" i="1"/>
  <c r="V208" i="1"/>
  <c r="U208" i="1"/>
  <c r="T208" i="1"/>
  <c r="S208" i="1"/>
  <c r="Q208" i="1"/>
  <c r="P208" i="1"/>
  <c r="O208" i="1"/>
  <c r="N208" i="1"/>
  <c r="M208" i="1"/>
  <c r="L208" i="1"/>
  <c r="K208" i="1"/>
  <c r="J208" i="1"/>
  <c r="I208" i="1"/>
  <c r="H208" i="1"/>
  <c r="Y208" i="1" s="1"/>
  <c r="G208" i="1"/>
  <c r="F208" i="1"/>
  <c r="E208" i="1"/>
  <c r="D208" i="1"/>
  <c r="AB207" i="1"/>
  <c r="AA207" i="1"/>
  <c r="X207" i="1"/>
  <c r="W207" i="1"/>
  <c r="V207" i="1"/>
  <c r="U207" i="1"/>
  <c r="T207" i="1"/>
  <c r="S207" i="1"/>
  <c r="R207" i="1"/>
  <c r="Y207" i="1" s="1"/>
  <c r="Q207" i="1"/>
  <c r="P207" i="1"/>
  <c r="O207" i="1"/>
  <c r="N207" i="1"/>
  <c r="M207" i="1"/>
  <c r="L207" i="1"/>
  <c r="K207" i="1"/>
  <c r="J207" i="1"/>
  <c r="I207" i="1"/>
  <c r="G207" i="1"/>
  <c r="F207" i="1"/>
  <c r="E207" i="1"/>
  <c r="D207" i="1"/>
  <c r="AB206" i="1"/>
  <c r="AA206" i="1"/>
  <c r="X206" i="1"/>
  <c r="W206" i="1"/>
  <c r="V206" i="1"/>
  <c r="U206" i="1"/>
  <c r="T206" i="1"/>
  <c r="S206" i="1"/>
  <c r="R206" i="1"/>
  <c r="Y206" i="1" s="1"/>
  <c r="Q206" i="1"/>
  <c r="P206" i="1"/>
  <c r="O206" i="1"/>
  <c r="N206" i="1"/>
  <c r="M206" i="1"/>
  <c r="L206" i="1"/>
  <c r="K206" i="1"/>
  <c r="J206" i="1"/>
  <c r="I206" i="1"/>
  <c r="G206" i="1"/>
  <c r="F206" i="1"/>
  <c r="E206" i="1"/>
  <c r="D206" i="1"/>
  <c r="AB205" i="1"/>
  <c r="AA205" i="1"/>
  <c r="X205" i="1"/>
  <c r="W205" i="1"/>
  <c r="V205" i="1"/>
  <c r="U205" i="1"/>
  <c r="T205" i="1"/>
  <c r="S205" i="1"/>
  <c r="Q205" i="1"/>
  <c r="P205" i="1"/>
  <c r="O205" i="1"/>
  <c r="N205" i="1"/>
  <c r="M205" i="1"/>
  <c r="L205" i="1"/>
  <c r="K205" i="1"/>
  <c r="J205" i="1"/>
  <c r="I205" i="1"/>
  <c r="H205" i="1"/>
  <c r="Y205" i="1" s="1"/>
  <c r="G205" i="1"/>
  <c r="F205" i="1"/>
  <c r="E205" i="1"/>
  <c r="D205" i="1"/>
  <c r="AB204" i="1"/>
  <c r="AA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AB203" i="1"/>
  <c r="AA203" i="1"/>
  <c r="Z203" i="1"/>
  <c r="X203" i="1"/>
  <c r="W203" i="1"/>
  <c r="V203" i="1"/>
  <c r="U203" i="1"/>
  <c r="T203" i="1"/>
  <c r="S203" i="1"/>
  <c r="Q203" i="1"/>
  <c r="P203" i="1"/>
  <c r="O203" i="1"/>
  <c r="N203" i="1"/>
  <c r="M203" i="1"/>
  <c r="L203" i="1"/>
  <c r="K203" i="1"/>
  <c r="J203" i="1"/>
  <c r="I203" i="1"/>
  <c r="G203" i="1"/>
  <c r="F203" i="1"/>
  <c r="E203" i="1"/>
  <c r="D203" i="1"/>
  <c r="R203" i="1" s="1"/>
  <c r="Y203" i="1" s="1"/>
  <c r="AB199" i="1"/>
  <c r="AA199" i="1"/>
  <c r="Y199" i="1"/>
  <c r="Z199" i="1" s="1"/>
  <c r="X199" i="1"/>
  <c r="W199" i="1"/>
  <c r="V199" i="1"/>
  <c r="U199" i="1"/>
  <c r="T199" i="1"/>
  <c r="S199" i="1"/>
  <c r="Q199" i="1"/>
  <c r="P199" i="1"/>
  <c r="AM263" i="1" s="1"/>
  <c r="O199" i="1"/>
  <c r="N199" i="1"/>
  <c r="M199" i="1"/>
  <c r="L199" i="1"/>
  <c r="AJ263" i="1" s="1"/>
  <c r="K199" i="1"/>
  <c r="J199" i="1"/>
  <c r="I199" i="1"/>
  <c r="G199" i="1"/>
  <c r="F199" i="1"/>
  <c r="E199" i="1"/>
  <c r="AB198" i="1"/>
  <c r="AA198" i="1"/>
  <c r="Y198" i="1"/>
  <c r="Z198" i="1" s="1"/>
  <c r="X198" i="1"/>
  <c r="W198" i="1"/>
  <c r="V198" i="1"/>
  <c r="U198" i="1"/>
  <c r="T198" i="1"/>
  <c r="S198" i="1"/>
  <c r="Q198" i="1"/>
  <c r="P198" i="1"/>
  <c r="O198" i="1"/>
  <c r="N198" i="1"/>
  <c r="M198" i="1"/>
  <c r="L198" i="1"/>
  <c r="K198" i="1"/>
  <c r="J198" i="1"/>
  <c r="I198" i="1"/>
  <c r="G198" i="1"/>
  <c r="F198" i="1"/>
  <c r="E198" i="1"/>
  <c r="AB197" i="1"/>
  <c r="AA197" i="1"/>
  <c r="Y197" i="1"/>
  <c r="Z197" i="1" s="1"/>
  <c r="X197" i="1"/>
  <c r="W197" i="1"/>
  <c r="V197" i="1"/>
  <c r="U197" i="1"/>
  <c r="T197" i="1"/>
  <c r="S197" i="1"/>
  <c r="Q197" i="1"/>
  <c r="P197" i="1"/>
  <c r="O197" i="1"/>
  <c r="N197" i="1"/>
  <c r="M197" i="1"/>
  <c r="L197" i="1"/>
  <c r="K197" i="1"/>
  <c r="J197" i="1"/>
  <c r="I197" i="1"/>
  <c r="G197" i="1"/>
  <c r="F197" i="1"/>
  <c r="E197" i="1"/>
  <c r="AB196" i="1"/>
  <c r="AA196" i="1"/>
  <c r="X196" i="1"/>
  <c r="W196" i="1"/>
  <c r="V196" i="1"/>
  <c r="U196" i="1"/>
  <c r="T196" i="1"/>
  <c r="S196" i="1"/>
  <c r="R196" i="1"/>
  <c r="Y196" i="1" s="1"/>
  <c r="Q196" i="1"/>
  <c r="P196" i="1"/>
  <c r="O196" i="1"/>
  <c r="N196" i="1"/>
  <c r="M196" i="1"/>
  <c r="L196" i="1"/>
  <c r="K196" i="1"/>
  <c r="J196" i="1"/>
  <c r="I196" i="1"/>
  <c r="G196" i="1"/>
  <c r="F196" i="1"/>
  <c r="E196" i="1"/>
  <c r="D196" i="1"/>
  <c r="H195" i="1"/>
  <c r="Y195" i="1" s="1"/>
  <c r="D195" i="1"/>
  <c r="H194" i="1"/>
  <c r="Y194" i="1" s="1"/>
  <c r="D194" i="1"/>
  <c r="H193" i="1"/>
  <c r="Y193" i="1" s="1"/>
  <c r="D193" i="1"/>
  <c r="AB192" i="1"/>
  <c r="AA192" i="1"/>
  <c r="H192" i="1"/>
  <c r="Y192" i="1" s="1"/>
  <c r="D192" i="1"/>
  <c r="H191" i="1"/>
  <c r="Y191" i="1" s="1"/>
  <c r="Z191" i="1" s="1"/>
  <c r="D191" i="1"/>
  <c r="H190" i="1"/>
  <c r="Y190" i="1" s="1"/>
  <c r="Z190" i="1" s="1"/>
  <c r="D190" i="1"/>
  <c r="H189" i="1"/>
  <c r="Y189" i="1" s="1"/>
  <c r="D189" i="1"/>
  <c r="AB188" i="1"/>
  <c r="AA188" i="1"/>
  <c r="H188" i="1"/>
  <c r="Y188" i="1" s="1"/>
  <c r="D188" i="1"/>
  <c r="AB187" i="1"/>
  <c r="AA187" i="1"/>
  <c r="H187" i="1"/>
  <c r="Y187" i="1" s="1"/>
  <c r="D187" i="1"/>
  <c r="AB186" i="1"/>
  <c r="AA186" i="1"/>
  <c r="X186" i="1"/>
  <c r="W186" i="1"/>
  <c r="V186" i="1"/>
  <c r="U186" i="1"/>
  <c r="T186" i="1"/>
  <c r="S186" i="1"/>
  <c r="Q186" i="1"/>
  <c r="P186" i="1"/>
  <c r="O186" i="1"/>
  <c r="N186" i="1"/>
  <c r="M186" i="1"/>
  <c r="L186" i="1"/>
  <c r="K186" i="1"/>
  <c r="J186" i="1"/>
  <c r="I186" i="1"/>
  <c r="H186" i="1"/>
  <c r="Y186" i="1" s="1"/>
  <c r="G186" i="1"/>
  <c r="F186" i="1"/>
  <c r="E186" i="1"/>
  <c r="D186" i="1"/>
  <c r="H185" i="1"/>
  <c r="Y185" i="1" s="1"/>
  <c r="D185" i="1"/>
  <c r="AB184" i="1"/>
  <c r="AA184" i="1"/>
  <c r="X184" i="1"/>
  <c r="W184" i="1"/>
  <c r="V184" i="1"/>
  <c r="U184" i="1"/>
  <c r="T184" i="1"/>
  <c r="S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AB179" i="1"/>
  <c r="AA179" i="1"/>
  <c r="Y179" i="1"/>
  <c r="Z179" i="1" s="1"/>
  <c r="X179" i="1"/>
  <c r="W179" i="1"/>
  <c r="V179" i="1"/>
  <c r="U179" i="1"/>
  <c r="T179" i="1"/>
  <c r="S179" i="1"/>
  <c r="Q179" i="1"/>
  <c r="P179" i="1"/>
  <c r="O179" i="1"/>
  <c r="N179" i="1"/>
  <c r="M179" i="1"/>
  <c r="L179" i="1"/>
  <c r="K179" i="1"/>
  <c r="J179" i="1"/>
  <c r="I179" i="1"/>
  <c r="G179" i="1"/>
  <c r="F179" i="1"/>
  <c r="E179" i="1"/>
  <c r="AB178" i="1"/>
  <c r="AA178" i="1"/>
  <c r="Y178" i="1"/>
  <c r="Z178" i="1" s="1"/>
  <c r="X178" i="1"/>
  <c r="W178" i="1"/>
  <c r="V178" i="1"/>
  <c r="U178" i="1"/>
  <c r="T178" i="1"/>
  <c r="S178" i="1"/>
  <c r="Q178" i="1"/>
  <c r="P178" i="1"/>
  <c r="O178" i="1"/>
  <c r="N178" i="1"/>
  <c r="M178" i="1"/>
  <c r="L178" i="1"/>
  <c r="K178" i="1"/>
  <c r="J178" i="1"/>
  <c r="I178" i="1"/>
  <c r="G178" i="1"/>
  <c r="F178" i="1"/>
  <c r="E178" i="1"/>
  <c r="AB177" i="1"/>
  <c r="AA177" i="1"/>
  <c r="X177" i="1"/>
  <c r="W177" i="1"/>
  <c r="V177" i="1"/>
  <c r="U177" i="1"/>
  <c r="T177" i="1"/>
  <c r="S177" i="1"/>
  <c r="R177" i="1"/>
  <c r="R181" i="1" s="1"/>
  <c r="Q177" i="1"/>
  <c r="P177" i="1"/>
  <c r="O177" i="1"/>
  <c r="N177" i="1"/>
  <c r="M177" i="1"/>
  <c r="L177" i="1"/>
  <c r="K177" i="1"/>
  <c r="J177" i="1"/>
  <c r="I177" i="1"/>
  <c r="G177" i="1"/>
  <c r="F177" i="1"/>
  <c r="E177" i="1"/>
  <c r="D177" i="1"/>
  <c r="H176" i="1"/>
  <c r="Y176" i="1" s="1"/>
  <c r="D176" i="1"/>
  <c r="H175" i="1"/>
  <c r="Y175" i="1" s="1"/>
  <c r="D175" i="1"/>
  <c r="H174" i="1"/>
  <c r="Y174" i="1" s="1"/>
  <c r="D174" i="1"/>
  <c r="AB173" i="1"/>
  <c r="AA173" i="1"/>
  <c r="X173" i="1"/>
  <c r="W173" i="1"/>
  <c r="V173" i="1"/>
  <c r="U173" i="1"/>
  <c r="T173" i="1"/>
  <c r="S173" i="1"/>
  <c r="Q173" i="1"/>
  <c r="P173" i="1"/>
  <c r="O173" i="1"/>
  <c r="N173" i="1"/>
  <c r="M173" i="1"/>
  <c r="L173" i="1"/>
  <c r="K173" i="1"/>
  <c r="J173" i="1"/>
  <c r="I173" i="1"/>
  <c r="H173" i="1"/>
  <c r="Y173" i="1" s="1"/>
  <c r="G173" i="1"/>
  <c r="F173" i="1"/>
  <c r="E173" i="1"/>
  <c r="D173" i="1"/>
  <c r="AB172" i="1"/>
  <c r="AA172" i="1"/>
  <c r="X172" i="1"/>
  <c r="W172" i="1"/>
  <c r="V172" i="1"/>
  <c r="U172" i="1"/>
  <c r="T172" i="1"/>
  <c r="T181" i="1" s="1"/>
  <c r="S172" i="1"/>
  <c r="Q172" i="1"/>
  <c r="P172" i="1"/>
  <c r="O172" i="1"/>
  <c r="AL252" i="1" s="1"/>
  <c r="N172" i="1"/>
  <c r="M172" i="1"/>
  <c r="L172" i="1"/>
  <c r="K172" i="1"/>
  <c r="J172" i="1"/>
  <c r="I172" i="1"/>
  <c r="H172" i="1"/>
  <c r="Y172" i="1" s="1"/>
  <c r="G172" i="1"/>
  <c r="F172" i="1"/>
  <c r="E172" i="1"/>
  <c r="D172" i="1"/>
  <c r="AF252" i="1" s="1"/>
  <c r="AB171" i="1"/>
  <c r="AA171" i="1"/>
  <c r="X171" i="1"/>
  <c r="W171" i="1"/>
  <c r="V171" i="1"/>
  <c r="U171" i="1"/>
  <c r="T171" i="1"/>
  <c r="S171" i="1"/>
  <c r="Q171" i="1"/>
  <c r="P171" i="1"/>
  <c r="O171" i="1"/>
  <c r="N171" i="1"/>
  <c r="M171" i="1"/>
  <c r="L171" i="1"/>
  <c r="K171" i="1"/>
  <c r="J171" i="1"/>
  <c r="I171" i="1"/>
  <c r="H171" i="1"/>
  <c r="Y171" i="1" s="1"/>
  <c r="G171" i="1"/>
  <c r="F171" i="1"/>
  <c r="E171" i="1"/>
  <c r="D171" i="1"/>
  <c r="H170" i="1"/>
  <c r="Y170" i="1" s="1"/>
  <c r="D170" i="1"/>
  <c r="H169" i="1"/>
  <c r="Y169" i="1" s="1"/>
  <c r="D169" i="1"/>
  <c r="Y168" i="1"/>
  <c r="D168" i="1"/>
  <c r="AB167" i="1"/>
  <c r="AA167" i="1"/>
  <c r="X167" i="1"/>
  <c r="W167" i="1"/>
  <c r="V167" i="1"/>
  <c r="U167" i="1"/>
  <c r="T167" i="1"/>
  <c r="S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AB158" i="1"/>
  <c r="AA158" i="1"/>
  <c r="X158" i="1"/>
  <c r="W158" i="1"/>
  <c r="V158" i="1"/>
  <c r="U158" i="1"/>
  <c r="T158" i="1"/>
  <c r="S158" i="1"/>
  <c r="R158" i="1"/>
  <c r="Y158" i="1" s="1"/>
  <c r="Q158" i="1"/>
  <c r="P158" i="1"/>
  <c r="O158" i="1"/>
  <c r="N158" i="1"/>
  <c r="M158" i="1"/>
  <c r="L158" i="1"/>
  <c r="K158" i="1"/>
  <c r="J158" i="1"/>
  <c r="I158" i="1"/>
  <c r="G158" i="1"/>
  <c r="F158" i="1"/>
  <c r="E158" i="1"/>
  <c r="D158" i="1"/>
  <c r="AO157" i="1"/>
  <c r="AF157" i="1"/>
  <c r="AB157" i="1"/>
  <c r="AA157" i="1"/>
  <c r="X157" i="1"/>
  <c r="W157" i="1"/>
  <c r="V157" i="1"/>
  <c r="U157" i="1"/>
  <c r="T157" i="1"/>
  <c r="S157" i="1"/>
  <c r="R157" i="1"/>
  <c r="Y157" i="1" s="1"/>
  <c r="Q157" i="1"/>
  <c r="P157" i="1"/>
  <c r="O157" i="1"/>
  <c r="N157" i="1"/>
  <c r="M157" i="1"/>
  <c r="L157" i="1"/>
  <c r="K157" i="1"/>
  <c r="J157" i="1"/>
  <c r="I157" i="1"/>
  <c r="G157" i="1"/>
  <c r="F157" i="1"/>
  <c r="E157" i="1"/>
  <c r="D157" i="1"/>
  <c r="H156" i="1"/>
  <c r="Y156" i="1" s="1"/>
  <c r="D156" i="1"/>
  <c r="H155" i="1"/>
  <c r="Y155" i="1" s="1"/>
  <c r="D155" i="1"/>
  <c r="H154" i="1"/>
  <c r="Y154" i="1" s="1"/>
  <c r="D154" i="1"/>
  <c r="AB153" i="1"/>
  <c r="AA153" i="1"/>
  <c r="X153" i="1"/>
  <c r="W153" i="1"/>
  <c r="V153" i="1"/>
  <c r="AO145" i="1" s="1"/>
  <c r="U153" i="1"/>
  <c r="T153" i="1"/>
  <c r="S153" i="1"/>
  <c r="Q153" i="1"/>
  <c r="P153" i="1"/>
  <c r="AM145" i="1" s="1"/>
  <c r="O153" i="1"/>
  <c r="AL145" i="1" s="1"/>
  <c r="N153" i="1"/>
  <c r="M153" i="1"/>
  <c r="L153" i="1"/>
  <c r="AJ145" i="1" s="1"/>
  <c r="K153" i="1"/>
  <c r="J153" i="1"/>
  <c r="I153" i="1"/>
  <c r="H153" i="1"/>
  <c r="Y153" i="1" s="1"/>
  <c r="G153" i="1"/>
  <c r="F153" i="1"/>
  <c r="AH145" i="1" s="1"/>
  <c r="E153" i="1"/>
  <c r="AG145" i="1" s="1"/>
  <c r="D153" i="1"/>
  <c r="AF145" i="1" s="1"/>
  <c r="H152" i="1"/>
  <c r="Y152" i="1" s="1"/>
  <c r="D152" i="1"/>
  <c r="H151" i="1"/>
  <c r="Y151" i="1" s="1"/>
  <c r="D151" i="1"/>
  <c r="AB150" i="1"/>
  <c r="AA150" i="1"/>
  <c r="X150" i="1"/>
  <c r="W150" i="1"/>
  <c r="V150" i="1"/>
  <c r="AO147" i="1" s="1"/>
  <c r="U150" i="1"/>
  <c r="T150" i="1"/>
  <c r="S150" i="1"/>
  <c r="Q150" i="1"/>
  <c r="P150" i="1"/>
  <c r="AM147" i="1" s="1"/>
  <c r="O150" i="1"/>
  <c r="AL147" i="1" s="1"/>
  <c r="N150" i="1"/>
  <c r="M150" i="1"/>
  <c r="L150" i="1"/>
  <c r="AJ147" i="1" s="1"/>
  <c r="K150" i="1"/>
  <c r="J150" i="1"/>
  <c r="I150" i="1"/>
  <c r="H150" i="1"/>
  <c r="Y150" i="1" s="1"/>
  <c r="G150" i="1"/>
  <c r="F150" i="1"/>
  <c r="AH147" i="1" s="1"/>
  <c r="E150" i="1"/>
  <c r="AG147" i="1" s="1"/>
  <c r="D150" i="1"/>
  <c r="AF147" i="1" s="1"/>
  <c r="H149" i="1"/>
  <c r="Y149" i="1" s="1"/>
  <c r="D149" i="1"/>
  <c r="H148" i="1"/>
  <c r="Y148" i="1" s="1"/>
  <c r="D148" i="1"/>
  <c r="AB147" i="1"/>
  <c r="AA147" i="1"/>
  <c r="X147" i="1"/>
  <c r="W147" i="1"/>
  <c r="V147" i="1"/>
  <c r="U147" i="1"/>
  <c r="T147" i="1"/>
  <c r="S147" i="1"/>
  <c r="Q147" i="1"/>
  <c r="P147" i="1"/>
  <c r="O147" i="1"/>
  <c r="N147" i="1"/>
  <c r="M147" i="1"/>
  <c r="L147" i="1"/>
  <c r="K147" i="1"/>
  <c r="J147" i="1"/>
  <c r="I147" i="1"/>
  <c r="H147" i="1"/>
  <c r="Y147" i="1" s="1"/>
  <c r="G147" i="1"/>
  <c r="F147" i="1"/>
  <c r="E147" i="1"/>
  <c r="D147" i="1"/>
  <c r="H146" i="1"/>
  <c r="Y146" i="1" s="1"/>
  <c r="D146" i="1"/>
  <c r="AB145" i="1"/>
  <c r="AA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AB140" i="1"/>
  <c r="AA140" i="1"/>
  <c r="X140" i="1"/>
  <c r="W140" i="1"/>
  <c r="V140" i="1"/>
  <c r="U140" i="1"/>
  <c r="T140" i="1"/>
  <c r="S140" i="1"/>
  <c r="Q140" i="1"/>
  <c r="P140" i="1"/>
  <c r="O140" i="1"/>
  <c r="N140" i="1"/>
  <c r="M140" i="1"/>
  <c r="L140" i="1"/>
  <c r="AJ160" i="1" s="1"/>
  <c r="K140" i="1"/>
  <c r="J140" i="1"/>
  <c r="I140" i="1"/>
  <c r="H140" i="1"/>
  <c r="Y140" i="1" s="1"/>
  <c r="G140" i="1"/>
  <c r="F140" i="1"/>
  <c r="E140" i="1"/>
  <c r="D140" i="1"/>
  <c r="AB139" i="1"/>
  <c r="AA139" i="1"/>
  <c r="X139" i="1"/>
  <c r="W139" i="1"/>
  <c r="V139" i="1"/>
  <c r="U139" i="1"/>
  <c r="T139" i="1"/>
  <c r="S139" i="1"/>
  <c r="Q139" i="1"/>
  <c r="P139" i="1"/>
  <c r="O139" i="1"/>
  <c r="AL153" i="1" s="1"/>
  <c r="N139" i="1"/>
  <c r="M139" i="1"/>
  <c r="L139" i="1"/>
  <c r="K139" i="1"/>
  <c r="J139" i="1"/>
  <c r="I139" i="1"/>
  <c r="H139" i="1"/>
  <c r="Y139" i="1" s="1"/>
  <c r="G139" i="1"/>
  <c r="F139" i="1"/>
  <c r="E139" i="1"/>
  <c r="D139" i="1"/>
  <c r="H138" i="1"/>
  <c r="Y138" i="1" s="1"/>
  <c r="D138" i="1"/>
  <c r="H137" i="1"/>
  <c r="Y137" i="1" s="1"/>
  <c r="D137" i="1"/>
  <c r="H136" i="1"/>
  <c r="Y136" i="1" s="1"/>
  <c r="D136" i="1"/>
  <c r="H135" i="1"/>
  <c r="Y135" i="1" s="1"/>
  <c r="D135" i="1"/>
  <c r="H134" i="1"/>
  <c r="Y134" i="1" s="1"/>
  <c r="D134" i="1"/>
  <c r="H133" i="1"/>
  <c r="Y133" i="1" s="1"/>
  <c r="D133" i="1"/>
  <c r="AB132" i="1"/>
  <c r="AA132" i="1"/>
  <c r="X132" i="1"/>
  <c r="W132" i="1"/>
  <c r="V132" i="1"/>
  <c r="U132" i="1"/>
  <c r="T132" i="1"/>
  <c r="S132" i="1"/>
  <c r="Q132" i="1"/>
  <c r="P132" i="1"/>
  <c r="O132" i="1"/>
  <c r="N132" i="1"/>
  <c r="M132" i="1"/>
  <c r="L132" i="1"/>
  <c r="K132" i="1"/>
  <c r="J132" i="1"/>
  <c r="I132" i="1"/>
  <c r="H132" i="1"/>
  <c r="Y132" i="1" s="1"/>
  <c r="G132" i="1"/>
  <c r="F132" i="1"/>
  <c r="E132" i="1"/>
  <c r="D132" i="1"/>
  <c r="AB131" i="1"/>
  <c r="AA131" i="1"/>
  <c r="X131" i="1"/>
  <c r="W131" i="1"/>
  <c r="V131" i="1"/>
  <c r="U131" i="1"/>
  <c r="T131" i="1"/>
  <c r="S131" i="1"/>
  <c r="R131" i="1"/>
  <c r="R142" i="1" s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R128" i="1"/>
  <c r="AB126" i="1"/>
  <c r="AA126" i="1"/>
  <c r="Y126" i="1"/>
  <c r="Z126" i="1" s="1"/>
  <c r="X126" i="1"/>
  <c r="W126" i="1"/>
  <c r="V126" i="1"/>
  <c r="U126" i="1"/>
  <c r="T126" i="1"/>
  <c r="S126" i="1"/>
  <c r="Q126" i="1"/>
  <c r="P126" i="1"/>
  <c r="AM157" i="1" s="1"/>
  <c r="O126" i="1"/>
  <c r="AL157" i="1" s="1"/>
  <c r="N126" i="1"/>
  <c r="M126" i="1"/>
  <c r="L126" i="1"/>
  <c r="K126" i="1"/>
  <c r="J126" i="1"/>
  <c r="I126" i="1"/>
  <c r="G126" i="1"/>
  <c r="F126" i="1"/>
  <c r="AH157" i="1" s="1"/>
  <c r="E126" i="1"/>
  <c r="AG157" i="1" s="1"/>
  <c r="AB125" i="1"/>
  <c r="AA125" i="1"/>
  <c r="X125" i="1"/>
  <c r="W125" i="1"/>
  <c r="V125" i="1"/>
  <c r="U125" i="1"/>
  <c r="T125" i="1"/>
  <c r="S125" i="1"/>
  <c r="Q125" i="1"/>
  <c r="P125" i="1"/>
  <c r="O125" i="1"/>
  <c r="N125" i="1"/>
  <c r="M125" i="1"/>
  <c r="L125" i="1"/>
  <c r="K125" i="1"/>
  <c r="J125" i="1"/>
  <c r="I125" i="1"/>
  <c r="H125" i="1"/>
  <c r="Y125" i="1" s="1"/>
  <c r="G125" i="1"/>
  <c r="F125" i="1"/>
  <c r="E125" i="1"/>
  <c r="D125" i="1"/>
  <c r="H124" i="1"/>
  <c r="Y124" i="1" s="1"/>
  <c r="D124" i="1"/>
  <c r="AB123" i="1"/>
  <c r="AA123" i="1"/>
  <c r="Y123" i="1"/>
  <c r="Z123" i="1" s="1"/>
  <c r="X123" i="1"/>
  <c r="W123" i="1"/>
  <c r="V123" i="1"/>
  <c r="U123" i="1"/>
  <c r="T123" i="1"/>
  <c r="S123" i="1"/>
  <c r="Q123" i="1"/>
  <c r="P123" i="1"/>
  <c r="O123" i="1"/>
  <c r="N123" i="1"/>
  <c r="M123" i="1"/>
  <c r="L123" i="1"/>
  <c r="K123" i="1"/>
  <c r="J123" i="1"/>
  <c r="I123" i="1"/>
  <c r="G123" i="1"/>
  <c r="F123" i="1"/>
  <c r="E123" i="1"/>
  <c r="AB122" i="1"/>
  <c r="AA122" i="1"/>
  <c r="X122" i="1"/>
  <c r="W122" i="1"/>
  <c r="V122" i="1"/>
  <c r="U122" i="1"/>
  <c r="T122" i="1"/>
  <c r="S122" i="1"/>
  <c r="Q122" i="1"/>
  <c r="P122" i="1"/>
  <c r="O122" i="1"/>
  <c r="N122" i="1"/>
  <c r="M122" i="1"/>
  <c r="L122" i="1"/>
  <c r="K122" i="1"/>
  <c r="J122" i="1"/>
  <c r="I122" i="1"/>
  <c r="H122" i="1"/>
  <c r="Y122" i="1" s="1"/>
  <c r="G122" i="1"/>
  <c r="F122" i="1"/>
  <c r="E122" i="1"/>
  <c r="D122" i="1"/>
  <c r="AB117" i="1"/>
  <c r="AA117" i="1"/>
  <c r="Y117" i="1"/>
  <c r="X117" i="1"/>
  <c r="W117" i="1"/>
  <c r="V117" i="1"/>
  <c r="AO158" i="1" s="1"/>
  <c r="U117" i="1"/>
  <c r="T117" i="1"/>
  <c r="S117" i="1"/>
  <c r="Q117" i="1"/>
  <c r="P117" i="1"/>
  <c r="AM158" i="1" s="1"/>
  <c r="O117" i="1"/>
  <c r="AL158" i="1" s="1"/>
  <c r="N117" i="1"/>
  <c r="M117" i="1"/>
  <c r="L117" i="1"/>
  <c r="AJ157" i="1" s="1"/>
  <c r="K117" i="1"/>
  <c r="J117" i="1"/>
  <c r="I117" i="1"/>
  <c r="G117" i="1"/>
  <c r="F117" i="1"/>
  <c r="AH158" i="1" s="1"/>
  <c r="E117" i="1"/>
  <c r="AG158" i="1" s="1"/>
  <c r="D117" i="1"/>
  <c r="AF158" i="1" s="1"/>
  <c r="AB116" i="1"/>
  <c r="AA116" i="1"/>
  <c r="X116" i="1"/>
  <c r="W116" i="1"/>
  <c r="V116" i="1"/>
  <c r="U116" i="1"/>
  <c r="T116" i="1"/>
  <c r="S116" i="1"/>
  <c r="R116" i="1"/>
  <c r="Y116" i="1" s="1"/>
  <c r="Q116" i="1"/>
  <c r="P116" i="1"/>
  <c r="O116" i="1"/>
  <c r="N116" i="1"/>
  <c r="M116" i="1"/>
  <c r="L116" i="1"/>
  <c r="K116" i="1"/>
  <c r="J116" i="1"/>
  <c r="I116" i="1"/>
  <c r="G116" i="1"/>
  <c r="F116" i="1"/>
  <c r="E116" i="1"/>
  <c r="D116" i="1"/>
  <c r="AB115" i="1"/>
  <c r="AA115" i="1"/>
  <c r="X115" i="1"/>
  <c r="W115" i="1"/>
  <c r="V115" i="1"/>
  <c r="U115" i="1"/>
  <c r="T115" i="1"/>
  <c r="S115" i="1"/>
  <c r="R115" i="1"/>
  <c r="Y115" i="1" s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H114" i="1"/>
  <c r="Y114" i="1" s="1"/>
  <c r="D114" i="1"/>
  <c r="AB113" i="1"/>
  <c r="AA113" i="1"/>
  <c r="X113" i="1"/>
  <c r="W113" i="1"/>
  <c r="V113" i="1"/>
  <c r="AO159" i="1" s="1"/>
  <c r="U113" i="1"/>
  <c r="T113" i="1"/>
  <c r="S113" i="1"/>
  <c r="Q113" i="1"/>
  <c r="P113" i="1"/>
  <c r="AM159" i="1" s="1"/>
  <c r="O113" i="1"/>
  <c r="AL159" i="1" s="1"/>
  <c r="N113" i="1"/>
  <c r="M113" i="1"/>
  <c r="L113" i="1"/>
  <c r="K113" i="1"/>
  <c r="J113" i="1"/>
  <c r="I113" i="1"/>
  <c r="H113" i="1"/>
  <c r="Y113" i="1" s="1"/>
  <c r="G113" i="1"/>
  <c r="F113" i="1"/>
  <c r="AH159" i="1" s="1"/>
  <c r="E113" i="1"/>
  <c r="AG159" i="1" s="1"/>
  <c r="D113" i="1"/>
  <c r="AF159" i="1" s="1"/>
  <c r="AB112" i="1"/>
  <c r="AA112" i="1"/>
  <c r="X112" i="1"/>
  <c r="W112" i="1"/>
  <c r="V112" i="1"/>
  <c r="U112" i="1"/>
  <c r="T112" i="1"/>
  <c r="S112" i="1"/>
  <c r="Q112" i="1"/>
  <c r="P112" i="1"/>
  <c r="O112" i="1"/>
  <c r="N112" i="1"/>
  <c r="M112" i="1"/>
  <c r="L112" i="1"/>
  <c r="K112" i="1"/>
  <c r="J112" i="1"/>
  <c r="I112" i="1"/>
  <c r="H112" i="1"/>
  <c r="Y112" i="1" s="1"/>
  <c r="G112" i="1"/>
  <c r="F112" i="1"/>
  <c r="E112" i="1"/>
  <c r="D112" i="1"/>
  <c r="AB111" i="1"/>
  <c r="AA111" i="1"/>
  <c r="X111" i="1"/>
  <c r="W111" i="1"/>
  <c r="V111" i="1"/>
  <c r="U111" i="1"/>
  <c r="T111" i="1"/>
  <c r="S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B106" i="1"/>
  <c r="AA106" i="1"/>
  <c r="X106" i="1"/>
  <c r="W106" i="1"/>
  <c r="V106" i="1"/>
  <c r="AO160" i="1" s="1"/>
  <c r="U106" i="1"/>
  <c r="T106" i="1"/>
  <c r="S106" i="1"/>
  <c r="Q106" i="1"/>
  <c r="P106" i="1"/>
  <c r="AM160" i="1" s="1"/>
  <c r="O106" i="1"/>
  <c r="AL160" i="1" s="1"/>
  <c r="N106" i="1"/>
  <c r="M106" i="1"/>
  <c r="L106" i="1"/>
  <c r="K106" i="1"/>
  <c r="J106" i="1"/>
  <c r="I106" i="1"/>
  <c r="H106" i="1"/>
  <c r="Y106" i="1" s="1"/>
  <c r="G106" i="1"/>
  <c r="F106" i="1"/>
  <c r="AH160" i="1" s="1"/>
  <c r="E106" i="1"/>
  <c r="AG160" i="1" s="1"/>
  <c r="D106" i="1"/>
  <c r="AF160" i="1" s="1"/>
  <c r="AB105" i="1"/>
  <c r="AA105" i="1"/>
  <c r="X105" i="1"/>
  <c r="W105" i="1"/>
  <c r="V105" i="1"/>
  <c r="U105" i="1"/>
  <c r="T105" i="1"/>
  <c r="S105" i="1"/>
  <c r="R105" i="1"/>
  <c r="Y105" i="1" s="1"/>
  <c r="Q105" i="1"/>
  <c r="P105" i="1"/>
  <c r="O105" i="1"/>
  <c r="N105" i="1"/>
  <c r="M105" i="1"/>
  <c r="L105" i="1"/>
  <c r="K105" i="1"/>
  <c r="J105" i="1"/>
  <c r="I105" i="1"/>
  <c r="G105" i="1"/>
  <c r="F105" i="1"/>
  <c r="E105" i="1"/>
  <c r="D105" i="1"/>
  <c r="AB104" i="1"/>
  <c r="AA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G104" i="1"/>
  <c r="F104" i="1"/>
  <c r="E104" i="1"/>
  <c r="D104" i="1"/>
  <c r="AB103" i="1"/>
  <c r="AA103" i="1"/>
  <c r="X103" i="1"/>
  <c r="W103" i="1"/>
  <c r="V103" i="1"/>
  <c r="U103" i="1"/>
  <c r="T103" i="1"/>
  <c r="S103" i="1"/>
  <c r="Q103" i="1"/>
  <c r="P103" i="1"/>
  <c r="O103" i="1"/>
  <c r="N103" i="1"/>
  <c r="M103" i="1"/>
  <c r="L103" i="1"/>
  <c r="K103" i="1"/>
  <c r="J103" i="1"/>
  <c r="I103" i="1"/>
  <c r="H103" i="1"/>
  <c r="Y103" i="1" s="1"/>
  <c r="G103" i="1"/>
  <c r="F103" i="1"/>
  <c r="E103" i="1"/>
  <c r="D103" i="1"/>
  <c r="AB102" i="1"/>
  <c r="AA102" i="1"/>
  <c r="X102" i="1"/>
  <c r="W102" i="1"/>
  <c r="V102" i="1"/>
  <c r="U102" i="1"/>
  <c r="T102" i="1"/>
  <c r="S102" i="1"/>
  <c r="Q102" i="1"/>
  <c r="P102" i="1"/>
  <c r="O102" i="1"/>
  <c r="N102" i="1"/>
  <c r="M102" i="1"/>
  <c r="L102" i="1"/>
  <c r="K102" i="1"/>
  <c r="J102" i="1"/>
  <c r="I102" i="1"/>
  <c r="H102" i="1"/>
  <c r="Y102" i="1" s="1"/>
  <c r="G102" i="1"/>
  <c r="F102" i="1"/>
  <c r="E102" i="1"/>
  <c r="D102" i="1"/>
  <c r="AB101" i="1"/>
  <c r="AA101" i="1"/>
  <c r="Y101" i="1"/>
  <c r="Z101" i="1" s="1"/>
  <c r="X101" i="1"/>
  <c r="W101" i="1"/>
  <c r="V101" i="1"/>
  <c r="U101" i="1"/>
  <c r="T101" i="1"/>
  <c r="S101" i="1"/>
  <c r="Q101" i="1"/>
  <c r="P101" i="1"/>
  <c r="O101" i="1"/>
  <c r="N101" i="1"/>
  <c r="M101" i="1"/>
  <c r="L101" i="1"/>
  <c r="K101" i="1"/>
  <c r="J101" i="1"/>
  <c r="I101" i="1"/>
  <c r="G101" i="1"/>
  <c r="F101" i="1"/>
  <c r="E101" i="1"/>
  <c r="D94" i="1"/>
  <c r="R94" i="1" s="1"/>
  <c r="Y94" i="1" s="1"/>
  <c r="Z94" i="1" s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AL90" i="1" s="1"/>
  <c r="N90" i="1"/>
  <c r="M90" i="1"/>
  <c r="L90" i="1"/>
  <c r="K90" i="1"/>
  <c r="J90" i="1"/>
  <c r="I90" i="1"/>
  <c r="H90" i="1"/>
  <c r="G90" i="1"/>
  <c r="F90" i="1"/>
  <c r="AH90" i="1" s="1"/>
  <c r="E90" i="1"/>
  <c r="AG90" i="1" s="1"/>
  <c r="D90" i="1"/>
  <c r="AF90" i="1" s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F88" i="1" s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B85" i="1"/>
  <c r="AA85" i="1"/>
  <c r="Z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Y85" i="1" s="1"/>
  <c r="G85" i="1"/>
  <c r="F85" i="1"/>
  <c r="E85" i="1"/>
  <c r="D85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B83" i="1"/>
  <c r="AA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Y83" i="1" s="1"/>
  <c r="G83" i="1"/>
  <c r="F83" i="1"/>
  <c r="E83" i="1"/>
  <c r="D83" i="1"/>
  <c r="AB78" i="1"/>
  <c r="AA78" i="1"/>
  <c r="Y78" i="1"/>
  <c r="Z78" i="1" s="1"/>
  <c r="X78" i="1"/>
  <c r="W78" i="1"/>
  <c r="V78" i="1"/>
  <c r="U78" i="1"/>
  <c r="T78" i="1"/>
  <c r="S78" i="1"/>
  <c r="Q78" i="1"/>
  <c r="P78" i="1"/>
  <c r="O78" i="1"/>
  <c r="N78" i="1"/>
  <c r="M78" i="1"/>
  <c r="L78" i="1"/>
  <c r="K78" i="1"/>
  <c r="J78" i="1"/>
  <c r="I78" i="1"/>
  <c r="G78" i="1"/>
  <c r="F78" i="1"/>
  <c r="E78" i="1"/>
  <c r="AB77" i="1"/>
  <c r="AA77" i="1"/>
  <c r="X77" i="1"/>
  <c r="W77" i="1"/>
  <c r="V77" i="1"/>
  <c r="U77" i="1"/>
  <c r="T77" i="1"/>
  <c r="S77" i="1"/>
  <c r="R77" i="1"/>
  <c r="Y77" i="1" s="1"/>
  <c r="Q77" i="1"/>
  <c r="P77" i="1"/>
  <c r="O77" i="1"/>
  <c r="N77" i="1"/>
  <c r="M77" i="1"/>
  <c r="L77" i="1"/>
  <c r="K77" i="1"/>
  <c r="J77" i="1"/>
  <c r="I77" i="1"/>
  <c r="G77" i="1"/>
  <c r="F77" i="1"/>
  <c r="E77" i="1"/>
  <c r="D77" i="1"/>
  <c r="AB76" i="1"/>
  <c r="AA76" i="1"/>
  <c r="X76" i="1"/>
  <c r="W76" i="1"/>
  <c r="V76" i="1"/>
  <c r="U76" i="1"/>
  <c r="T76" i="1"/>
  <c r="S76" i="1"/>
  <c r="R76" i="1"/>
  <c r="Q76" i="1"/>
  <c r="P76" i="1"/>
  <c r="AM81" i="1" s="1"/>
  <c r="O76" i="1"/>
  <c r="AL81" i="1" s="1"/>
  <c r="N76" i="1"/>
  <c r="M76" i="1"/>
  <c r="L76" i="1"/>
  <c r="AJ81" i="1" s="1"/>
  <c r="K76" i="1"/>
  <c r="J76" i="1"/>
  <c r="I76" i="1"/>
  <c r="H76" i="1"/>
  <c r="G76" i="1"/>
  <c r="F76" i="1"/>
  <c r="AH81" i="1" s="1"/>
  <c r="E76" i="1"/>
  <c r="AG81" i="1" s="1"/>
  <c r="D76" i="1"/>
  <c r="AF81" i="1" s="1"/>
  <c r="AB75" i="1"/>
  <c r="AA75" i="1"/>
  <c r="X75" i="1"/>
  <c r="W75" i="1"/>
  <c r="V75" i="1"/>
  <c r="AO91" i="1" s="1"/>
  <c r="U75" i="1"/>
  <c r="T75" i="1"/>
  <c r="S75" i="1"/>
  <c r="Q75" i="1"/>
  <c r="P75" i="1"/>
  <c r="AM91" i="1" s="1"/>
  <c r="O75" i="1"/>
  <c r="AL91" i="1" s="1"/>
  <c r="N75" i="1"/>
  <c r="M75" i="1"/>
  <c r="L75" i="1"/>
  <c r="K75" i="1"/>
  <c r="AJ91" i="1" s="1"/>
  <c r="J75" i="1"/>
  <c r="I75" i="1"/>
  <c r="H75" i="1"/>
  <c r="Y75" i="1" s="1"/>
  <c r="G75" i="1"/>
  <c r="F75" i="1"/>
  <c r="AH91" i="1" s="1"/>
  <c r="E75" i="1"/>
  <c r="AG91" i="1" s="1"/>
  <c r="D75" i="1"/>
  <c r="AB74" i="1"/>
  <c r="AA74" i="1"/>
  <c r="X74" i="1"/>
  <c r="W74" i="1"/>
  <c r="V74" i="1"/>
  <c r="U74" i="1"/>
  <c r="T74" i="1"/>
  <c r="S74" i="1"/>
  <c r="Q74" i="1"/>
  <c r="P74" i="1"/>
  <c r="O74" i="1"/>
  <c r="N74" i="1"/>
  <c r="M74" i="1"/>
  <c r="L74" i="1"/>
  <c r="K74" i="1"/>
  <c r="J74" i="1"/>
  <c r="I74" i="1"/>
  <c r="H74" i="1"/>
  <c r="Y74" i="1" s="1"/>
  <c r="G74" i="1"/>
  <c r="F74" i="1"/>
  <c r="E74" i="1"/>
  <c r="D74" i="1"/>
  <c r="H73" i="1"/>
  <c r="Y73" i="1" s="1"/>
  <c r="D73" i="1"/>
  <c r="H72" i="1"/>
  <c r="Y72" i="1" s="1"/>
  <c r="D72" i="1"/>
  <c r="H71" i="1"/>
  <c r="Y71" i="1" s="1"/>
  <c r="D71" i="1"/>
  <c r="H70" i="1"/>
  <c r="Y70" i="1" s="1"/>
  <c r="D70" i="1"/>
  <c r="H69" i="1"/>
  <c r="Y69" i="1" s="1"/>
  <c r="D69" i="1"/>
  <c r="AB68" i="1"/>
  <c r="AA68" i="1"/>
  <c r="X68" i="1"/>
  <c r="W68" i="1"/>
  <c r="V68" i="1"/>
  <c r="U68" i="1"/>
  <c r="T68" i="1"/>
  <c r="S68" i="1"/>
  <c r="Q68" i="1"/>
  <c r="P68" i="1"/>
  <c r="O68" i="1"/>
  <c r="N68" i="1"/>
  <c r="M68" i="1"/>
  <c r="L68" i="1"/>
  <c r="K68" i="1"/>
  <c r="J68" i="1"/>
  <c r="I68" i="1"/>
  <c r="H68" i="1"/>
  <c r="Y68" i="1" s="1"/>
  <c r="G68" i="1"/>
  <c r="F68" i="1"/>
  <c r="AH83" i="1" s="1"/>
  <c r="E68" i="1"/>
  <c r="D68" i="1"/>
  <c r="H67" i="1"/>
  <c r="Y67" i="1" s="1"/>
  <c r="D67" i="1"/>
  <c r="H66" i="1"/>
  <c r="Y66" i="1" s="1"/>
  <c r="D66" i="1"/>
  <c r="H65" i="1"/>
  <c r="Y65" i="1" s="1"/>
  <c r="D65" i="1"/>
  <c r="H64" i="1"/>
  <c r="Y64" i="1" s="1"/>
  <c r="D64" i="1"/>
  <c r="H63" i="1"/>
  <c r="Y63" i="1" s="1"/>
  <c r="D63" i="1"/>
  <c r="R62" i="1"/>
  <c r="H62" i="1"/>
  <c r="D62" i="1"/>
  <c r="H61" i="1"/>
  <c r="Y61" i="1" s="1"/>
  <c r="D61" i="1"/>
  <c r="H60" i="1"/>
  <c r="Y60" i="1" s="1"/>
  <c r="D60" i="1"/>
  <c r="AB59" i="1"/>
  <c r="AA59" i="1"/>
  <c r="X59" i="1"/>
  <c r="W59" i="1"/>
  <c r="V59" i="1"/>
  <c r="U59" i="1"/>
  <c r="T59" i="1"/>
  <c r="S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B58" i="1"/>
  <c r="AA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R55" i="1"/>
  <c r="AB53" i="1"/>
  <c r="AA53" i="1"/>
  <c r="Y53" i="1"/>
  <c r="X53" i="1"/>
  <c r="W53" i="1"/>
  <c r="V53" i="1"/>
  <c r="U53" i="1"/>
  <c r="T53" i="1"/>
  <c r="S53" i="1"/>
  <c r="Q53" i="1"/>
  <c r="P53" i="1"/>
  <c r="O53" i="1"/>
  <c r="N53" i="1"/>
  <c r="M53" i="1"/>
  <c r="L53" i="1"/>
  <c r="K53" i="1"/>
  <c r="J53" i="1"/>
  <c r="I53" i="1"/>
  <c r="G53" i="1"/>
  <c r="F53" i="1"/>
  <c r="E53" i="1"/>
  <c r="D53" i="1"/>
  <c r="AB52" i="1"/>
  <c r="AA52" i="1"/>
  <c r="X52" i="1"/>
  <c r="W52" i="1"/>
  <c r="V52" i="1"/>
  <c r="U52" i="1"/>
  <c r="T52" i="1"/>
  <c r="S52" i="1"/>
  <c r="Q52" i="1"/>
  <c r="P52" i="1"/>
  <c r="O52" i="1"/>
  <c r="N52" i="1"/>
  <c r="M52" i="1"/>
  <c r="L52" i="1"/>
  <c r="K52" i="1"/>
  <c r="J52" i="1"/>
  <c r="I52" i="1"/>
  <c r="H52" i="1"/>
  <c r="Y52" i="1" s="1"/>
  <c r="G52" i="1"/>
  <c r="F52" i="1"/>
  <c r="E52" i="1"/>
  <c r="D52" i="1"/>
  <c r="AB51" i="1"/>
  <c r="AA51" i="1"/>
  <c r="X51" i="1"/>
  <c r="W51" i="1"/>
  <c r="V51" i="1"/>
  <c r="U51" i="1"/>
  <c r="T51" i="1"/>
  <c r="S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B50" i="1"/>
  <c r="AA50" i="1"/>
  <c r="Y50" i="1"/>
  <c r="X50" i="1"/>
  <c r="W50" i="1"/>
  <c r="V50" i="1"/>
  <c r="AO81" i="1" s="1"/>
  <c r="U50" i="1"/>
  <c r="T50" i="1"/>
  <c r="S50" i="1"/>
  <c r="Q50" i="1"/>
  <c r="P50" i="1"/>
  <c r="O50" i="1"/>
  <c r="N50" i="1"/>
  <c r="M50" i="1"/>
  <c r="L50" i="1"/>
  <c r="K50" i="1"/>
  <c r="J50" i="1"/>
  <c r="I50" i="1"/>
  <c r="G50" i="1"/>
  <c r="F50" i="1"/>
  <c r="E50" i="1"/>
  <c r="D50" i="1"/>
  <c r="AB49" i="1"/>
  <c r="AA49" i="1"/>
  <c r="Z49" i="1"/>
  <c r="X49" i="1"/>
  <c r="W49" i="1"/>
  <c r="V49" i="1"/>
  <c r="U49" i="1"/>
  <c r="T49" i="1"/>
  <c r="S49" i="1"/>
  <c r="R49" i="1"/>
  <c r="Y49" i="1" s="1"/>
  <c r="Q49" i="1"/>
  <c r="P49" i="1"/>
  <c r="O49" i="1"/>
  <c r="N49" i="1"/>
  <c r="M49" i="1"/>
  <c r="L49" i="1"/>
  <c r="K49" i="1"/>
  <c r="J49" i="1"/>
  <c r="I49" i="1"/>
  <c r="G49" i="1"/>
  <c r="F49" i="1"/>
  <c r="E49" i="1"/>
  <c r="D49" i="1"/>
  <c r="AB45" i="1"/>
  <c r="AA45" i="1"/>
  <c r="Y45" i="1"/>
  <c r="Z45" i="1" s="1"/>
  <c r="X45" i="1"/>
  <c r="W45" i="1"/>
  <c r="V45" i="1"/>
  <c r="U45" i="1"/>
  <c r="T45" i="1"/>
  <c r="S45" i="1"/>
  <c r="Q45" i="1"/>
  <c r="P45" i="1"/>
  <c r="O45" i="1"/>
  <c r="N45" i="1"/>
  <c r="M45" i="1"/>
  <c r="L45" i="1"/>
  <c r="K45" i="1"/>
  <c r="J45" i="1"/>
  <c r="I45" i="1"/>
  <c r="G45" i="1"/>
  <c r="F45" i="1"/>
  <c r="E45" i="1"/>
  <c r="AB44" i="1"/>
  <c r="AA44" i="1"/>
  <c r="Y44" i="1"/>
  <c r="Z44" i="1" s="1"/>
  <c r="X44" i="1"/>
  <c r="W44" i="1"/>
  <c r="V44" i="1"/>
  <c r="U44" i="1"/>
  <c r="T44" i="1"/>
  <c r="S44" i="1"/>
  <c r="Q44" i="1"/>
  <c r="P44" i="1"/>
  <c r="O44" i="1"/>
  <c r="N44" i="1"/>
  <c r="M44" i="1"/>
  <c r="L44" i="1"/>
  <c r="K44" i="1"/>
  <c r="J44" i="1"/>
  <c r="I44" i="1"/>
  <c r="G44" i="1"/>
  <c r="F44" i="1"/>
  <c r="E44" i="1"/>
  <c r="AB43" i="1"/>
  <c r="AA43" i="1"/>
  <c r="Y43" i="1"/>
  <c r="Z43" i="1" s="1"/>
  <c r="X43" i="1"/>
  <c r="W43" i="1"/>
  <c r="V43" i="1"/>
  <c r="U43" i="1"/>
  <c r="T43" i="1"/>
  <c r="S43" i="1"/>
  <c r="Q43" i="1"/>
  <c r="P43" i="1"/>
  <c r="O43" i="1"/>
  <c r="N43" i="1"/>
  <c r="M43" i="1"/>
  <c r="L43" i="1"/>
  <c r="K43" i="1"/>
  <c r="J43" i="1"/>
  <c r="I43" i="1"/>
  <c r="G43" i="1"/>
  <c r="F43" i="1"/>
  <c r="E43" i="1"/>
  <c r="AB42" i="1"/>
  <c r="AA42" i="1"/>
  <c r="X42" i="1"/>
  <c r="W42" i="1"/>
  <c r="V42" i="1"/>
  <c r="U42" i="1"/>
  <c r="T42" i="1"/>
  <c r="S42" i="1"/>
  <c r="Q42" i="1"/>
  <c r="P42" i="1"/>
  <c r="O42" i="1"/>
  <c r="N42" i="1"/>
  <c r="M42" i="1"/>
  <c r="L42" i="1"/>
  <c r="K42" i="1"/>
  <c r="J42" i="1"/>
  <c r="I42" i="1"/>
  <c r="H42" i="1"/>
  <c r="Y42" i="1" s="1"/>
  <c r="G42" i="1"/>
  <c r="F42" i="1"/>
  <c r="E42" i="1"/>
  <c r="D42" i="1"/>
  <c r="AF89" i="1" s="1"/>
  <c r="H41" i="1"/>
  <c r="Y41" i="1" s="1"/>
  <c r="D41" i="1"/>
  <c r="Z41" i="1" s="1"/>
  <c r="H40" i="1"/>
  <c r="Y40" i="1" s="1"/>
  <c r="D40" i="1"/>
  <c r="H39" i="1"/>
  <c r="Y39" i="1" s="1"/>
  <c r="D39" i="1"/>
  <c r="H38" i="1"/>
  <c r="Y38" i="1" s="1"/>
  <c r="D38" i="1"/>
  <c r="H37" i="1"/>
  <c r="Y37" i="1" s="1"/>
  <c r="D37" i="1"/>
  <c r="H36" i="1"/>
  <c r="Y36" i="1" s="1"/>
  <c r="D36" i="1"/>
  <c r="H35" i="1"/>
  <c r="Y35" i="1" s="1"/>
  <c r="D35" i="1"/>
  <c r="AB34" i="1"/>
  <c r="AA34" i="1"/>
  <c r="X34" i="1"/>
  <c r="W34" i="1"/>
  <c r="V34" i="1"/>
  <c r="U34" i="1"/>
  <c r="T34" i="1"/>
  <c r="S34" i="1"/>
  <c r="Q34" i="1"/>
  <c r="P34" i="1"/>
  <c r="O34" i="1"/>
  <c r="N34" i="1"/>
  <c r="M34" i="1"/>
  <c r="L34" i="1"/>
  <c r="K34" i="1"/>
  <c r="J34" i="1"/>
  <c r="I34" i="1"/>
  <c r="H34" i="1"/>
  <c r="Y34" i="1" s="1"/>
  <c r="G34" i="1"/>
  <c r="F34" i="1"/>
  <c r="E34" i="1"/>
  <c r="D34" i="1"/>
  <c r="AB33" i="1"/>
  <c r="AA33" i="1"/>
  <c r="X33" i="1"/>
  <c r="W33" i="1"/>
  <c r="V33" i="1"/>
  <c r="AO92" i="1" s="1"/>
  <c r="U33" i="1"/>
  <c r="T33" i="1"/>
  <c r="S33" i="1"/>
  <c r="Q33" i="1"/>
  <c r="P33" i="1"/>
  <c r="AM92" i="1" s="1"/>
  <c r="O33" i="1"/>
  <c r="AL92" i="1" s="1"/>
  <c r="N33" i="1"/>
  <c r="M33" i="1"/>
  <c r="L33" i="1"/>
  <c r="K33" i="1"/>
  <c r="AJ92" i="1" s="1"/>
  <c r="J33" i="1"/>
  <c r="I33" i="1"/>
  <c r="H33" i="1"/>
  <c r="Y33" i="1" s="1"/>
  <c r="G33" i="1"/>
  <c r="F33" i="1"/>
  <c r="AH92" i="1" s="1"/>
  <c r="E33" i="1"/>
  <c r="AG92" i="1" s="1"/>
  <c r="D33" i="1"/>
  <c r="AB32" i="1"/>
  <c r="AA32" i="1"/>
  <c r="X32" i="1"/>
  <c r="W32" i="1"/>
  <c r="V32" i="1"/>
  <c r="U32" i="1"/>
  <c r="T32" i="1"/>
  <c r="S32" i="1"/>
  <c r="Q32" i="1"/>
  <c r="P32" i="1"/>
  <c r="O32" i="1"/>
  <c r="N32" i="1"/>
  <c r="M32" i="1"/>
  <c r="L32" i="1"/>
  <c r="K32" i="1"/>
  <c r="J32" i="1"/>
  <c r="I32" i="1"/>
  <c r="H32" i="1"/>
  <c r="Y32" i="1" s="1"/>
  <c r="G32" i="1"/>
  <c r="F32" i="1"/>
  <c r="E32" i="1"/>
  <c r="D32" i="1"/>
  <c r="AB31" i="1"/>
  <c r="AA31" i="1"/>
  <c r="X31" i="1"/>
  <c r="W31" i="1"/>
  <c r="V31" i="1"/>
  <c r="U31" i="1"/>
  <c r="T31" i="1"/>
  <c r="S31" i="1"/>
  <c r="R31" i="1"/>
  <c r="R47" i="1" s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Y27" i="1"/>
  <c r="R27" i="1"/>
  <c r="D27" i="1"/>
  <c r="R25" i="1"/>
  <c r="AB23" i="1"/>
  <c r="AA23" i="1"/>
  <c r="Y23" i="1"/>
  <c r="X23" i="1"/>
  <c r="W23" i="1"/>
  <c r="V23" i="1"/>
  <c r="U23" i="1"/>
  <c r="T23" i="1"/>
  <c r="S23" i="1"/>
  <c r="Q23" i="1"/>
  <c r="P23" i="1"/>
  <c r="O23" i="1"/>
  <c r="N23" i="1"/>
  <c r="M23" i="1"/>
  <c r="L23" i="1"/>
  <c r="K23" i="1"/>
  <c r="J23" i="1"/>
  <c r="I23" i="1"/>
  <c r="G23" i="1"/>
  <c r="F23" i="1"/>
  <c r="E23" i="1"/>
  <c r="D23" i="1"/>
  <c r="AF87" i="1" s="1"/>
  <c r="AB22" i="1"/>
  <c r="AA22" i="1"/>
  <c r="Y22" i="1"/>
  <c r="X22" i="1"/>
  <c r="W22" i="1"/>
  <c r="V22" i="1"/>
  <c r="U22" i="1"/>
  <c r="T22" i="1"/>
  <c r="S22" i="1"/>
  <c r="Q22" i="1"/>
  <c r="P22" i="1"/>
  <c r="O22" i="1"/>
  <c r="N22" i="1"/>
  <c r="M22" i="1"/>
  <c r="L22" i="1"/>
  <c r="K22" i="1"/>
  <c r="J22" i="1"/>
  <c r="I22" i="1"/>
  <c r="G22" i="1"/>
  <c r="F22" i="1"/>
  <c r="E22" i="1"/>
  <c r="D22" i="1"/>
  <c r="AB21" i="1"/>
  <c r="AA21" i="1"/>
  <c r="X21" i="1"/>
  <c r="W21" i="1"/>
  <c r="V21" i="1"/>
  <c r="U21" i="1"/>
  <c r="T21" i="1"/>
  <c r="S21" i="1"/>
  <c r="Q21" i="1"/>
  <c r="P21" i="1"/>
  <c r="O21" i="1"/>
  <c r="N21" i="1"/>
  <c r="M21" i="1"/>
  <c r="L21" i="1"/>
  <c r="K21" i="1"/>
  <c r="J21" i="1"/>
  <c r="I21" i="1"/>
  <c r="H21" i="1"/>
  <c r="Y21" i="1" s="1"/>
  <c r="G21" i="1"/>
  <c r="F21" i="1"/>
  <c r="E21" i="1"/>
  <c r="D21" i="1"/>
  <c r="AB20" i="1"/>
  <c r="AA20" i="1"/>
  <c r="Y20" i="1"/>
  <c r="X20" i="1"/>
  <c r="W20" i="1"/>
  <c r="V20" i="1"/>
  <c r="U20" i="1"/>
  <c r="T20" i="1"/>
  <c r="S20" i="1"/>
  <c r="Q20" i="1"/>
  <c r="P20" i="1"/>
  <c r="O20" i="1"/>
  <c r="N20" i="1"/>
  <c r="M20" i="1"/>
  <c r="L20" i="1"/>
  <c r="K20" i="1"/>
  <c r="J20" i="1"/>
  <c r="I20" i="1"/>
  <c r="G20" i="1"/>
  <c r="F20" i="1"/>
  <c r="E20" i="1"/>
  <c r="D20" i="1"/>
  <c r="AB19" i="1"/>
  <c r="AA19" i="1"/>
  <c r="Z19" i="1"/>
  <c r="X19" i="1"/>
  <c r="W19" i="1"/>
  <c r="V19" i="1"/>
  <c r="U19" i="1"/>
  <c r="T19" i="1"/>
  <c r="S19" i="1"/>
  <c r="R19" i="1"/>
  <c r="Y19" i="1" s="1"/>
  <c r="Q19" i="1"/>
  <c r="P19" i="1"/>
  <c r="O19" i="1"/>
  <c r="N19" i="1"/>
  <c r="M19" i="1"/>
  <c r="L19" i="1"/>
  <c r="K19" i="1"/>
  <c r="J19" i="1"/>
  <c r="I19" i="1"/>
  <c r="G19" i="1"/>
  <c r="F19" i="1"/>
  <c r="E19" i="1"/>
  <c r="D19" i="1"/>
  <c r="B18" i="1"/>
  <c r="B26" i="1" s="1"/>
  <c r="R17" i="1"/>
  <c r="AB15" i="1"/>
  <c r="AA15" i="1"/>
  <c r="Y15" i="1"/>
  <c r="Z15" i="1" s="1"/>
  <c r="X15" i="1"/>
  <c r="W15" i="1"/>
  <c r="V15" i="1"/>
  <c r="U15" i="1"/>
  <c r="T15" i="1"/>
  <c r="S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AB14" i="1"/>
  <c r="AA14" i="1"/>
  <c r="X14" i="1"/>
  <c r="W14" i="1"/>
  <c r="V14" i="1"/>
  <c r="U14" i="1"/>
  <c r="T14" i="1"/>
  <c r="S14" i="1"/>
  <c r="Q14" i="1"/>
  <c r="P14" i="1"/>
  <c r="O14" i="1"/>
  <c r="N14" i="1"/>
  <c r="M14" i="1"/>
  <c r="L14" i="1"/>
  <c r="K14" i="1"/>
  <c r="J14" i="1"/>
  <c r="I14" i="1"/>
  <c r="H14" i="1"/>
  <c r="Y14" i="1" s="1"/>
  <c r="Z14" i="1" s="1"/>
  <c r="G14" i="1"/>
  <c r="F14" i="1"/>
  <c r="E14" i="1"/>
  <c r="AB13" i="1"/>
  <c r="AA13" i="1"/>
  <c r="X13" i="1"/>
  <c r="W13" i="1"/>
  <c r="V13" i="1"/>
  <c r="U13" i="1"/>
  <c r="T13" i="1"/>
  <c r="S13" i="1"/>
  <c r="Q13" i="1"/>
  <c r="P13" i="1"/>
  <c r="O13" i="1"/>
  <c r="N13" i="1"/>
  <c r="M13" i="1"/>
  <c r="L13" i="1"/>
  <c r="K13" i="1"/>
  <c r="J13" i="1"/>
  <c r="I13" i="1"/>
  <c r="H13" i="1"/>
  <c r="Y13" i="1" s="1"/>
  <c r="Z13" i="1" s="1"/>
  <c r="G13" i="1"/>
  <c r="F13" i="1"/>
  <c r="E13" i="1"/>
  <c r="AB12" i="1"/>
  <c r="AA12" i="1"/>
  <c r="X12" i="1"/>
  <c r="W12" i="1"/>
  <c r="V12" i="1"/>
  <c r="AO80" i="1" s="1"/>
  <c r="U12" i="1"/>
  <c r="T12" i="1"/>
  <c r="S12" i="1"/>
  <c r="Q12" i="1"/>
  <c r="P12" i="1"/>
  <c r="AM80" i="1" s="1"/>
  <c r="O12" i="1"/>
  <c r="N12" i="1"/>
  <c r="M12" i="1"/>
  <c r="L12" i="1"/>
  <c r="K12" i="1"/>
  <c r="J12" i="1"/>
  <c r="I12" i="1"/>
  <c r="H12" i="1"/>
  <c r="Y12" i="1" s="1"/>
  <c r="G12" i="1"/>
  <c r="F12" i="1"/>
  <c r="E12" i="1"/>
  <c r="D12" i="1"/>
  <c r="Z12" i="1" s="1"/>
  <c r="AB11" i="1"/>
  <c r="AA11" i="1"/>
  <c r="X11" i="1"/>
  <c r="W11" i="1"/>
  <c r="V11" i="1"/>
  <c r="U11" i="1"/>
  <c r="T11" i="1"/>
  <c r="S11" i="1"/>
  <c r="Q11" i="1"/>
  <c r="P11" i="1"/>
  <c r="O11" i="1"/>
  <c r="N11" i="1"/>
  <c r="M11" i="1"/>
  <c r="L11" i="1"/>
  <c r="K11" i="1"/>
  <c r="J11" i="1"/>
  <c r="I11" i="1"/>
  <c r="H11" i="1"/>
  <c r="Y11" i="1" s="1"/>
  <c r="G11" i="1"/>
  <c r="F11" i="1"/>
  <c r="E11" i="1"/>
  <c r="D11" i="1"/>
  <c r="AB10" i="1"/>
  <c r="AA10" i="1"/>
  <c r="X10" i="1"/>
  <c r="W10" i="1"/>
  <c r="V10" i="1"/>
  <c r="U10" i="1"/>
  <c r="T10" i="1"/>
  <c r="S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L5" i="1"/>
  <c r="AG5" i="1"/>
  <c r="T108" i="1" l="1"/>
  <c r="X108" i="1"/>
  <c r="Z405" i="1"/>
  <c r="AO614" i="1"/>
  <c r="J656" i="1"/>
  <c r="S703" i="1"/>
  <c r="AL729" i="1"/>
  <c r="H1023" i="1"/>
  <c r="Z1182" i="1"/>
  <c r="T1268" i="1"/>
  <c r="Z1311" i="1"/>
  <c r="K1323" i="1"/>
  <c r="O1323" i="1"/>
  <c r="T1323" i="1"/>
  <c r="X1323" i="1"/>
  <c r="E1323" i="1"/>
  <c r="AB1323" i="1"/>
  <c r="AL1350" i="1"/>
  <c r="E1384" i="1"/>
  <c r="AB1384" i="1"/>
  <c r="Z1387" i="1"/>
  <c r="S1401" i="1"/>
  <c r="AA1432" i="1"/>
  <c r="AI1452" i="1"/>
  <c r="AO1492" i="1"/>
  <c r="F1479" i="1"/>
  <c r="Z1474" i="1"/>
  <c r="AA1491" i="1"/>
  <c r="Z1499" i="1"/>
  <c r="AI1505" i="1"/>
  <c r="L25" i="1"/>
  <c r="U25" i="1"/>
  <c r="Z53" i="1"/>
  <c r="AH142" i="1"/>
  <c r="AF140" i="1"/>
  <c r="AJ140" i="1"/>
  <c r="Z134" i="1"/>
  <c r="Z207" i="1"/>
  <c r="Z388" i="1"/>
  <c r="T451" i="1"/>
  <c r="X451" i="1"/>
  <c r="AP450" i="1"/>
  <c r="L549" i="1"/>
  <c r="P549" i="1"/>
  <c r="J629" i="1"/>
  <c r="N629" i="1"/>
  <c r="Z772" i="1"/>
  <c r="Z794" i="1"/>
  <c r="AM869" i="1"/>
  <c r="F1099" i="1"/>
  <c r="AO1155" i="1"/>
  <c r="I1124" i="1"/>
  <c r="F1208" i="1"/>
  <c r="N1208" i="1"/>
  <c r="R1208" i="1"/>
  <c r="V1208" i="1"/>
  <c r="P1208" i="1"/>
  <c r="D1413" i="1"/>
  <c r="AB1550" i="1"/>
  <c r="Z1559" i="1"/>
  <c r="Z140" i="1"/>
  <c r="P25" i="1"/>
  <c r="AH89" i="1"/>
  <c r="AM140" i="1"/>
  <c r="Z136" i="1"/>
  <c r="Z155" i="1"/>
  <c r="D17" i="1"/>
  <c r="AJ82" i="1"/>
  <c r="AM82" i="1"/>
  <c r="AB108" i="1"/>
  <c r="AO140" i="1"/>
  <c r="AJ143" i="1"/>
  <c r="AM143" i="1"/>
  <c r="E119" i="1"/>
  <c r="Y145" i="1"/>
  <c r="Z145" i="1" s="1"/>
  <c r="Z189" i="1"/>
  <c r="Y366" i="1"/>
  <c r="Z366" i="1" s="1"/>
  <c r="F414" i="1"/>
  <c r="Y404" i="1"/>
  <c r="AB414" i="1"/>
  <c r="Z408" i="1"/>
  <c r="E423" i="1"/>
  <c r="AB423" i="1"/>
  <c r="H451" i="1"/>
  <c r="Z459" i="1"/>
  <c r="Z627" i="1"/>
  <c r="R644" i="1"/>
  <c r="AJ749" i="1"/>
  <c r="AM749" i="1"/>
  <c r="F715" i="1"/>
  <c r="O715" i="1"/>
  <c r="D715" i="1"/>
  <c r="V738" i="1"/>
  <c r="AL732" i="1"/>
  <c r="X833" i="1"/>
  <c r="Z827" i="1"/>
  <c r="Z1180" i="1"/>
  <c r="U1199" i="1"/>
  <c r="AN1249" i="1"/>
  <c r="AP1249" i="1" s="1"/>
  <c r="AL1340" i="1"/>
  <c r="AK1413" i="1"/>
  <c r="Z1449" i="1"/>
  <c r="Y1482" i="1"/>
  <c r="Y1491" i="1" s="1"/>
  <c r="Z368" i="1"/>
  <c r="AO87" i="1"/>
  <c r="Z21" i="1"/>
  <c r="AN262" i="1"/>
  <c r="AP262" i="1" s="1"/>
  <c r="L380" i="1"/>
  <c r="F484" i="1"/>
  <c r="AL612" i="1"/>
  <c r="AJ602" i="1"/>
  <c r="E561" i="1"/>
  <c r="AG727" i="1"/>
  <c r="AI727" i="1" s="1"/>
  <c r="AO727" i="1"/>
  <c r="E703" i="1"/>
  <c r="T715" i="1"/>
  <c r="F724" i="1"/>
  <c r="AI876" i="1"/>
  <c r="AF861" i="1"/>
  <c r="Z1018" i="1"/>
  <c r="S1023" i="1"/>
  <c r="AH1156" i="1"/>
  <c r="Z1152" i="1"/>
  <c r="N1303" i="1"/>
  <c r="Z1292" i="1"/>
  <c r="Z1463" i="1"/>
  <c r="AO1503" i="1"/>
  <c r="P55" i="1"/>
  <c r="AN81" i="1"/>
  <c r="Z137" i="1"/>
  <c r="Z154" i="1"/>
  <c r="AM252" i="1"/>
  <c r="R201" i="1"/>
  <c r="AA218" i="1"/>
  <c r="AL256" i="1"/>
  <c r="S233" i="1"/>
  <c r="AB263" i="1"/>
  <c r="N263" i="1"/>
  <c r="AA311" i="1"/>
  <c r="J326" i="1"/>
  <c r="N326" i="1"/>
  <c r="Y316" i="1"/>
  <c r="Y323" i="1"/>
  <c r="Z323" i="1" s="1"/>
  <c r="I350" i="1"/>
  <c r="V350" i="1"/>
  <c r="F350" i="1"/>
  <c r="F361" i="1"/>
  <c r="K361" i="1"/>
  <c r="O361" i="1"/>
  <c r="S361" i="1"/>
  <c r="Z354" i="1"/>
  <c r="R380" i="1"/>
  <c r="E401" i="1"/>
  <c r="J401" i="1"/>
  <c r="N401" i="1"/>
  <c r="S401" i="1"/>
  <c r="AB401" i="1"/>
  <c r="F423" i="1"/>
  <c r="S423" i="1"/>
  <c r="P423" i="1"/>
  <c r="U423" i="1"/>
  <c r="AJ601" i="1"/>
  <c r="AM601" i="1"/>
  <c r="X513" i="1"/>
  <c r="AB525" i="1"/>
  <c r="Z522" i="1"/>
  <c r="E549" i="1"/>
  <c r="AB549" i="1"/>
  <c r="V596" i="1"/>
  <c r="F596" i="1"/>
  <c r="T605" i="1"/>
  <c r="X605" i="1"/>
  <c r="T668" i="1"/>
  <c r="X668" i="1"/>
  <c r="E668" i="1"/>
  <c r="Z666" i="1"/>
  <c r="Z675" i="1"/>
  <c r="T724" i="1"/>
  <c r="U738" i="1"/>
  <c r="AF729" i="1"/>
  <c r="AJ729" i="1"/>
  <c r="AR729" i="1" s="1"/>
  <c r="AM729" i="1"/>
  <c r="E820" i="1"/>
  <c r="AB820" i="1"/>
  <c r="O820" i="1"/>
  <c r="L847" i="1"/>
  <c r="P847" i="1"/>
  <c r="Z864" i="1"/>
  <c r="AG981" i="1"/>
  <c r="F955" i="1"/>
  <c r="T955" i="1"/>
  <c r="I975" i="1"/>
  <c r="N1011" i="1"/>
  <c r="V1023" i="1"/>
  <c r="T1052" i="1"/>
  <c r="Z1050" i="1"/>
  <c r="U1069" i="1"/>
  <c r="J1124" i="1"/>
  <c r="N1124" i="1"/>
  <c r="V1124" i="1"/>
  <c r="AB1124" i="1"/>
  <c r="AL1155" i="1"/>
  <c r="AJ1245" i="1"/>
  <c r="AM1245" i="1"/>
  <c r="AH1246" i="1"/>
  <c r="AH1248" i="1"/>
  <c r="Y1191" i="1"/>
  <c r="Z1191" i="1" s="1"/>
  <c r="Y1327" i="1"/>
  <c r="Z1327" i="1" s="1"/>
  <c r="Z1335" i="1"/>
  <c r="Z1337" i="1"/>
  <c r="X1401" i="1"/>
  <c r="F1491" i="1"/>
  <c r="Z1554" i="1"/>
  <c r="Y1564" i="1"/>
  <c r="Z1564" i="1" s="1"/>
  <c r="AB1572" i="1"/>
  <c r="Z355" i="1"/>
  <c r="S108" i="1"/>
  <c r="AG140" i="1"/>
  <c r="I119" i="1"/>
  <c r="V119" i="1"/>
  <c r="AI159" i="1"/>
  <c r="J119" i="1"/>
  <c r="D142" i="1"/>
  <c r="Z158" i="1"/>
  <c r="X380" i="1"/>
  <c r="S472" i="1"/>
  <c r="AM606" i="1"/>
  <c r="O484" i="1"/>
  <c r="AJ607" i="1"/>
  <c r="AB561" i="1"/>
  <c r="AI604" i="1"/>
  <c r="AK604" i="1" s="1"/>
  <c r="AH739" i="1"/>
  <c r="Z652" i="1"/>
  <c r="AA703" i="1"/>
  <c r="Z713" i="1"/>
  <c r="AI746" i="1"/>
  <c r="AK746" i="1" s="1"/>
  <c r="AG976" i="1"/>
  <c r="AA905" i="1"/>
  <c r="AJ977" i="1"/>
  <c r="AM977" i="1"/>
  <c r="E924" i="1"/>
  <c r="I924" i="1"/>
  <c r="V924" i="1"/>
  <c r="AN970" i="1"/>
  <c r="AP970" i="1" s="1"/>
  <c r="AL1156" i="1"/>
  <c r="Z1170" i="1"/>
  <c r="AO1248" i="1"/>
  <c r="AI1266" i="1"/>
  <c r="AK1266" i="1" s="1"/>
  <c r="AN1267" i="1"/>
  <c r="K1286" i="1"/>
  <c r="F1303" i="1"/>
  <c r="S1303" i="1"/>
  <c r="E1303" i="1"/>
  <c r="AI1349" i="1"/>
  <c r="AN1341" i="1"/>
  <c r="AP1341" i="1" s="1"/>
  <c r="AA1315" i="1"/>
  <c r="E1367" i="1"/>
  <c r="AH1504" i="1"/>
  <c r="AL1504" i="1"/>
  <c r="AB1538" i="1"/>
  <c r="AF85" i="1"/>
  <c r="AA108" i="1"/>
  <c r="Z103" i="1"/>
  <c r="AH143" i="1"/>
  <c r="AF144" i="1"/>
  <c r="S119" i="1"/>
  <c r="AM153" i="1"/>
  <c r="AN153" i="1" s="1"/>
  <c r="Z147" i="1"/>
  <c r="AL258" i="1"/>
  <c r="N201" i="1"/>
  <c r="AA254" i="1"/>
  <c r="H254" i="1"/>
  <c r="AH444" i="1"/>
  <c r="F311" i="1"/>
  <c r="J311" i="1"/>
  <c r="N311" i="1"/>
  <c r="S311" i="1"/>
  <c r="Z301" i="1"/>
  <c r="K326" i="1"/>
  <c r="O326" i="1"/>
  <c r="L326" i="1"/>
  <c r="P326" i="1"/>
  <c r="Y324" i="1"/>
  <c r="E350" i="1"/>
  <c r="X350" i="1"/>
  <c r="P350" i="1"/>
  <c r="X361" i="1"/>
  <c r="AN432" i="1"/>
  <c r="Y377" i="1"/>
  <c r="R440" i="1"/>
  <c r="Z436" i="1"/>
  <c r="AO600" i="1"/>
  <c r="AA484" i="1"/>
  <c r="R499" i="1"/>
  <c r="AA515" i="1"/>
  <c r="F525" i="1"/>
  <c r="N525" i="1"/>
  <c r="S525" i="1"/>
  <c r="S540" i="1"/>
  <c r="N561" i="1"/>
  <c r="AJ750" i="1"/>
  <c r="AM750" i="1"/>
  <c r="Z637" i="1"/>
  <c r="AG738" i="1"/>
  <c r="U668" i="1"/>
  <c r="Z663" i="1"/>
  <c r="E724" i="1"/>
  <c r="Z736" i="1"/>
  <c r="J749" i="1"/>
  <c r="N749" i="1"/>
  <c r="V749" i="1"/>
  <c r="H749" i="1"/>
  <c r="AL862" i="1"/>
  <c r="F820" i="1"/>
  <c r="S820" i="1"/>
  <c r="Y829" i="1"/>
  <c r="Z829" i="1" s="1"/>
  <c r="F881" i="1"/>
  <c r="J881" i="1"/>
  <c r="AH979" i="1"/>
  <c r="AL979" i="1"/>
  <c r="AH981" i="1"/>
  <c r="AH980" i="1"/>
  <c r="AL980" i="1"/>
  <c r="Z960" i="1"/>
  <c r="S975" i="1"/>
  <c r="E981" i="1"/>
  <c r="I981" i="1"/>
  <c r="V981" i="1"/>
  <c r="AB981" i="1"/>
  <c r="K981" i="1"/>
  <c r="Z1001" i="1"/>
  <c r="F1011" i="1"/>
  <c r="K1011" i="1"/>
  <c r="O1011" i="1"/>
  <c r="S1011" i="1"/>
  <c r="U1034" i="1"/>
  <c r="H1052" i="1"/>
  <c r="U1052" i="1"/>
  <c r="Y1049" i="1"/>
  <c r="Z1049" i="1" s="1"/>
  <c r="AI1099" i="1"/>
  <c r="H1136" i="1"/>
  <c r="L1158" i="1"/>
  <c r="P1158" i="1"/>
  <c r="AJ1246" i="1"/>
  <c r="AM1246" i="1"/>
  <c r="Z1178" i="1"/>
  <c r="AG1247" i="1"/>
  <c r="N1186" i="1"/>
  <c r="AI1249" i="1"/>
  <c r="AL1239" i="1"/>
  <c r="O1237" i="1"/>
  <c r="T1237" i="1"/>
  <c r="X1237" i="1"/>
  <c r="K1248" i="1"/>
  <c r="O1248" i="1"/>
  <c r="U1248" i="1"/>
  <c r="S1286" i="1"/>
  <c r="AB1286" i="1"/>
  <c r="F1367" i="1"/>
  <c r="T1367" i="1"/>
  <c r="Z1375" i="1"/>
  <c r="F1390" i="1"/>
  <c r="O1390" i="1"/>
  <c r="T1390" i="1"/>
  <c r="X1390" i="1"/>
  <c r="AI1401" i="1"/>
  <c r="AK1401" i="1" s="1"/>
  <c r="U451" i="1"/>
  <c r="AN1155" i="1"/>
  <c r="AP1155" i="1" s="1"/>
  <c r="Z27" i="1"/>
  <c r="Y31" i="1"/>
  <c r="Y47" i="1" s="1"/>
  <c r="AN92" i="1"/>
  <c r="AP92" i="1" s="1"/>
  <c r="X80" i="1"/>
  <c r="J108" i="1"/>
  <c r="L128" i="1"/>
  <c r="X160" i="1"/>
  <c r="AH256" i="1"/>
  <c r="I233" i="1"/>
  <c r="Z226" i="1"/>
  <c r="P254" i="1"/>
  <c r="H263" i="1"/>
  <c r="Y718" i="1"/>
  <c r="Y724" i="1" s="1"/>
  <c r="V847" i="1"/>
  <c r="H905" i="1"/>
  <c r="X967" i="1"/>
  <c r="AA967" i="1"/>
  <c r="Z1017" i="1"/>
  <c r="R1034" i="1"/>
  <c r="P1081" i="1"/>
  <c r="Z1297" i="1"/>
  <c r="AA1390" i="1"/>
  <c r="Z1396" i="1"/>
  <c r="AN1411" i="1"/>
  <c r="AI1450" i="1"/>
  <c r="AK1450" i="1" s="1"/>
  <c r="AB1469" i="1"/>
  <c r="AM88" i="1"/>
  <c r="AM85" i="1"/>
  <c r="R80" i="1"/>
  <c r="Y62" i="1"/>
  <c r="Z65" i="1"/>
  <c r="O119" i="1"/>
  <c r="N128" i="1"/>
  <c r="S128" i="1"/>
  <c r="J142" i="1"/>
  <c r="N142" i="1"/>
  <c r="Z133" i="1"/>
  <c r="Z135" i="1"/>
  <c r="O160" i="1"/>
  <c r="AI147" i="1"/>
  <c r="Z153" i="1"/>
  <c r="AN145" i="1"/>
  <c r="AP145" i="1" s="1"/>
  <c r="Z157" i="1"/>
  <c r="AF254" i="1"/>
  <c r="AJ254" i="1"/>
  <c r="AM254" i="1"/>
  <c r="AJ258" i="1"/>
  <c r="AM258" i="1"/>
  <c r="Z192" i="1"/>
  <c r="Y204" i="1"/>
  <c r="Y218" i="1" s="1"/>
  <c r="AG263" i="1"/>
  <c r="AB233" i="1"/>
  <c r="E233" i="1"/>
  <c r="J233" i="1"/>
  <c r="N233" i="1"/>
  <c r="K263" i="1"/>
  <c r="O263" i="1"/>
  <c r="T263" i="1"/>
  <c r="X263" i="1"/>
  <c r="Z258" i="1"/>
  <c r="AA287" i="1"/>
  <c r="AG429" i="1"/>
  <c r="E311" i="1"/>
  <c r="V311" i="1"/>
  <c r="Z320" i="1"/>
  <c r="Z322" i="1"/>
  <c r="H339" i="1"/>
  <c r="J361" i="1"/>
  <c r="N361" i="1"/>
  <c r="E361" i="1"/>
  <c r="V361" i="1"/>
  <c r="S380" i="1"/>
  <c r="Z367" i="1"/>
  <c r="AP432" i="1"/>
  <c r="AF435" i="1"/>
  <c r="AJ435" i="1"/>
  <c r="T423" i="1"/>
  <c r="AG600" i="1"/>
  <c r="Y488" i="1"/>
  <c r="Z488" i="1" s="1"/>
  <c r="Z536" i="1"/>
  <c r="S549" i="1"/>
  <c r="Z568" i="1"/>
  <c r="AN604" i="1"/>
  <c r="AP604" i="1" s="1"/>
  <c r="R605" i="1"/>
  <c r="S681" i="1"/>
  <c r="X738" i="1"/>
  <c r="AM868" i="1"/>
  <c r="S847" i="1"/>
  <c r="I847" i="1"/>
  <c r="K935" i="1"/>
  <c r="T935" i="1"/>
  <c r="H975" i="1"/>
  <c r="L975" i="1"/>
  <c r="P975" i="1"/>
  <c r="U975" i="1"/>
  <c r="E975" i="1"/>
  <c r="D1023" i="1"/>
  <c r="L1023" i="1"/>
  <c r="P1023" i="1"/>
  <c r="U1023" i="1"/>
  <c r="S1069" i="1"/>
  <c r="AI1098" i="1"/>
  <c r="AK1098" i="1" s="1"/>
  <c r="K1081" i="1"/>
  <c r="O1081" i="1"/>
  <c r="T1081" i="1"/>
  <c r="X1081" i="1"/>
  <c r="AB1099" i="1"/>
  <c r="AG1159" i="1"/>
  <c r="Z1156" i="1"/>
  <c r="H1186" i="1"/>
  <c r="AL1247" i="1"/>
  <c r="Y1205" i="1"/>
  <c r="E1351" i="1"/>
  <c r="AN1402" i="1"/>
  <c r="AP1402" i="1" s="1"/>
  <c r="X1451" i="1"/>
  <c r="L1505" i="1"/>
  <c r="P1505" i="1"/>
  <c r="Y868" i="1"/>
  <c r="Z868" i="1" s="1"/>
  <c r="R871" i="1"/>
  <c r="R549" i="1"/>
  <c r="Y545" i="1"/>
  <c r="Z545" i="1" s="1"/>
  <c r="Y888" i="1"/>
  <c r="Z888" i="1" s="1"/>
  <c r="H894" i="1"/>
  <c r="Z1134" i="1"/>
  <c r="AF1156" i="1"/>
  <c r="AN160" i="1"/>
  <c r="AP160" i="1" s="1"/>
  <c r="AN258" i="1"/>
  <c r="Z36" i="1"/>
  <c r="AA80" i="1"/>
  <c r="AG141" i="1"/>
  <c r="N108" i="1"/>
  <c r="AN158" i="1"/>
  <c r="AP158" i="1" s="1"/>
  <c r="L160" i="1"/>
  <c r="P160" i="1"/>
  <c r="U218" i="1"/>
  <c r="AH254" i="1"/>
  <c r="L254" i="1"/>
  <c r="Z260" i="1"/>
  <c r="AO442" i="1"/>
  <c r="AG435" i="1"/>
  <c r="Z612" i="1"/>
  <c r="AH738" i="1"/>
  <c r="N905" i="1"/>
  <c r="T967" i="1"/>
  <c r="H967" i="1"/>
  <c r="AN971" i="1"/>
  <c r="AP971" i="1" s="1"/>
  <c r="AH1343" i="1"/>
  <c r="X1384" i="1"/>
  <c r="Z1394" i="1"/>
  <c r="Z1425" i="1"/>
  <c r="AB1442" i="1"/>
  <c r="AJ86" i="1"/>
  <c r="AM86" i="1"/>
  <c r="U17" i="1"/>
  <c r="AL88" i="1"/>
  <c r="AH87" i="1"/>
  <c r="D25" i="1"/>
  <c r="I25" i="1"/>
  <c r="V25" i="1"/>
  <c r="AL87" i="1"/>
  <c r="H25" i="1"/>
  <c r="Z40" i="1"/>
  <c r="L55" i="1"/>
  <c r="U55" i="1"/>
  <c r="AL83" i="1"/>
  <c r="AH80" i="1"/>
  <c r="AH94" i="1" s="1"/>
  <c r="J92" i="1"/>
  <c r="N92" i="1"/>
  <c r="AG83" i="1"/>
  <c r="AI83" i="1" s="1"/>
  <c r="AJ142" i="1"/>
  <c r="AH144" i="1"/>
  <c r="AL144" i="1"/>
  <c r="N119" i="1"/>
  <c r="E142" i="1"/>
  <c r="AA142" i="1"/>
  <c r="Z138" i="1"/>
  <c r="AG153" i="1"/>
  <c r="AO153" i="1"/>
  <c r="AB142" i="1"/>
  <c r="X181" i="1"/>
  <c r="AL254" i="1"/>
  <c r="AG252" i="1"/>
  <c r="AA201" i="1"/>
  <c r="Z196" i="1"/>
  <c r="AO263" i="1"/>
  <c r="I245" i="1"/>
  <c r="U245" i="1"/>
  <c r="AA245" i="1"/>
  <c r="AH252" i="1"/>
  <c r="Y238" i="1"/>
  <c r="Z238" i="1" s="1"/>
  <c r="V245" i="1"/>
  <c r="Z240" i="1"/>
  <c r="Y241" i="1"/>
  <c r="F263" i="1"/>
  <c r="AO258" i="1"/>
  <c r="Z389" i="1"/>
  <c r="K414" i="1"/>
  <c r="K423" i="1"/>
  <c r="O423" i="1"/>
  <c r="Z419" i="1"/>
  <c r="P451" i="1"/>
  <c r="AA525" i="1"/>
  <c r="N549" i="1"/>
  <c r="J549" i="1"/>
  <c r="F681" i="1"/>
  <c r="F703" i="1"/>
  <c r="J703" i="1"/>
  <c r="N703" i="1"/>
  <c r="L715" i="1"/>
  <c r="P715" i="1"/>
  <c r="U715" i="1"/>
  <c r="AG749" i="1"/>
  <c r="Z732" i="1"/>
  <c r="Z773" i="1"/>
  <c r="AA784" i="1"/>
  <c r="Z793" i="1"/>
  <c r="AG870" i="1"/>
  <c r="AA833" i="1"/>
  <c r="O856" i="1"/>
  <c r="Z866" i="1"/>
  <c r="R967" i="1"/>
  <c r="AI971" i="1"/>
  <c r="T1011" i="1"/>
  <c r="Z1029" i="1"/>
  <c r="L1052" i="1"/>
  <c r="P1052" i="1"/>
  <c r="P1116" i="1"/>
  <c r="H1116" i="1"/>
  <c r="S1124" i="1"/>
  <c r="AO1247" i="1"/>
  <c r="AB1199" i="1"/>
  <c r="AG1347" i="1"/>
  <c r="AL1403" i="1"/>
  <c r="AM1409" i="1"/>
  <c r="I1442" i="1"/>
  <c r="AI1451" i="1"/>
  <c r="Z1484" i="1"/>
  <c r="Z1551" i="1"/>
  <c r="AJ438" i="1"/>
  <c r="AM438" i="1"/>
  <c r="AN438" i="1" s="1"/>
  <c r="F297" i="1"/>
  <c r="J297" i="1"/>
  <c r="N297" i="1"/>
  <c r="V297" i="1"/>
  <c r="AG442" i="1"/>
  <c r="AL449" i="1"/>
  <c r="Y336" i="1"/>
  <c r="Z336" i="1" s="1"/>
  <c r="K350" i="1"/>
  <c r="O350" i="1"/>
  <c r="T350" i="1"/>
  <c r="T361" i="1"/>
  <c r="AI432" i="1"/>
  <c r="AQ432" i="1" s="1"/>
  <c r="AR432" i="1" s="1"/>
  <c r="Z376" i="1"/>
  <c r="F401" i="1"/>
  <c r="K401" i="1"/>
  <c r="O401" i="1"/>
  <c r="T401" i="1"/>
  <c r="X401" i="1"/>
  <c r="Z397" i="1"/>
  <c r="Z399" i="1"/>
  <c r="Y412" i="1"/>
  <c r="X423" i="1"/>
  <c r="AN441" i="1"/>
  <c r="AP441" i="1" s="1"/>
  <c r="AH435" i="1"/>
  <c r="AM430" i="1"/>
  <c r="AL438" i="1"/>
  <c r="AB472" i="1"/>
  <c r="AJ600" i="1"/>
  <c r="AM600" i="1"/>
  <c r="Y469" i="1"/>
  <c r="E499" i="1"/>
  <c r="P499" i="1"/>
  <c r="Z495" i="1"/>
  <c r="AB513" i="1"/>
  <c r="K513" i="1"/>
  <c r="I513" i="1"/>
  <c r="K525" i="1"/>
  <c r="O525" i="1"/>
  <c r="T525" i="1"/>
  <c r="X525" i="1"/>
  <c r="V525" i="1"/>
  <c r="U540" i="1"/>
  <c r="AA540" i="1"/>
  <c r="T549" i="1"/>
  <c r="X549" i="1"/>
  <c r="Z558" i="1"/>
  <c r="Z567" i="1"/>
  <c r="AB596" i="1"/>
  <c r="AA596" i="1"/>
  <c r="H605" i="1"/>
  <c r="J605" i="1"/>
  <c r="K614" i="1"/>
  <c r="O614" i="1"/>
  <c r="T614" i="1"/>
  <c r="X614" i="1"/>
  <c r="AB614" i="1"/>
  <c r="AA629" i="1"/>
  <c r="S629" i="1"/>
  <c r="Z624" i="1"/>
  <c r="Y632" i="1"/>
  <c r="Z632" i="1" s="1"/>
  <c r="V644" i="1"/>
  <c r="AO750" i="1"/>
  <c r="AO738" i="1"/>
  <c r="D656" i="1"/>
  <c r="I656" i="1"/>
  <c r="U656" i="1"/>
  <c r="E656" i="1"/>
  <c r="K656" i="1"/>
  <c r="AL739" i="1"/>
  <c r="AG726" i="1"/>
  <c r="AO726" i="1"/>
  <c r="Y654" i="1"/>
  <c r="Z654" i="1" s="1"/>
  <c r="Y672" i="1"/>
  <c r="Y681" i="1" s="1"/>
  <c r="Z686" i="1"/>
  <c r="Z688" i="1"/>
  <c r="Z690" i="1"/>
  <c r="AF738" i="1"/>
  <c r="Z735" i="1"/>
  <c r="K749" i="1"/>
  <c r="J775" i="1"/>
  <c r="AB775" i="1"/>
  <c r="AL868" i="1"/>
  <c r="P784" i="1"/>
  <c r="U784" i="1"/>
  <c r="AG879" i="1"/>
  <c r="Z788" i="1"/>
  <c r="Z792" i="1"/>
  <c r="Y792" i="1"/>
  <c r="L809" i="1"/>
  <c r="P809" i="1"/>
  <c r="T809" i="1"/>
  <c r="E809" i="1"/>
  <c r="Z804" i="1"/>
  <c r="AM870" i="1"/>
  <c r="F833" i="1"/>
  <c r="J833" i="1"/>
  <c r="N833" i="1"/>
  <c r="Y830" i="1"/>
  <c r="Z830" i="1" s="1"/>
  <c r="Z863" i="1"/>
  <c r="P881" i="1"/>
  <c r="V905" i="1"/>
  <c r="AJ981" i="1"/>
  <c r="AM981" i="1"/>
  <c r="R905" i="1"/>
  <c r="R987" i="1" s="1"/>
  <c r="R1610" i="1" s="1"/>
  <c r="U935" i="1"/>
  <c r="Z964" i="1"/>
  <c r="F981" i="1"/>
  <c r="J981" i="1"/>
  <c r="N981" i="1"/>
  <c r="S981" i="1"/>
  <c r="H981" i="1"/>
  <c r="S1003" i="1"/>
  <c r="AJ1089" i="1"/>
  <c r="Z1008" i="1"/>
  <c r="AG1097" i="1"/>
  <c r="R1044" i="1"/>
  <c r="E1052" i="1"/>
  <c r="V1052" i="1"/>
  <c r="V1061" i="1"/>
  <c r="AA1061" i="1"/>
  <c r="F1061" i="1"/>
  <c r="AB1061" i="1"/>
  <c r="L1069" i="1"/>
  <c r="P1069" i="1"/>
  <c r="E1089" i="1"/>
  <c r="J1089" i="1"/>
  <c r="N1089" i="1"/>
  <c r="S1089" i="1"/>
  <c r="AB1089" i="1"/>
  <c r="AA1116" i="1"/>
  <c r="AJ1156" i="1"/>
  <c r="AM1156" i="1"/>
  <c r="AN1156" i="1" s="1"/>
  <c r="H1124" i="1"/>
  <c r="AA1124" i="1"/>
  <c r="I1136" i="1"/>
  <c r="V1136" i="1"/>
  <c r="AJ1157" i="1"/>
  <c r="E1149" i="1"/>
  <c r="AL1159" i="1"/>
  <c r="H1175" i="1"/>
  <c r="P1175" i="1"/>
  <c r="T1175" i="1"/>
  <c r="X1175" i="1"/>
  <c r="J1186" i="1"/>
  <c r="R1186" i="1"/>
  <c r="V1186" i="1"/>
  <c r="AB1186" i="1"/>
  <c r="I1186" i="1"/>
  <c r="Y1203" i="1"/>
  <c r="L1208" i="1"/>
  <c r="Y1213" i="1"/>
  <c r="Z1213" i="1" s="1"/>
  <c r="Z1219" i="1"/>
  <c r="T1248" i="1"/>
  <c r="X1248" i="1"/>
  <c r="K1268" i="1"/>
  <c r="O1268" i="1"/>
  <c r="L1268" i="1"/>
  <c r="P1268" i="1"/>
  <c r="U1268" i="1"/>
  <c r="AM1343" i="1"/>
  <c r="U1315" i="1"/>
  <c r="D1342" i="1"/>
  <c r="Y1332" i="1"/>
  <c r="Z1332" i="1" s="1"/>
  <c r="P1342" i="1"/>
  <c r="X1342" i="1"/>
  <c r="AG1350" i="1"/>
  <c r="Z1339" i="1"/>
  <c r="AO1350" i="1"/>
  <c r="J1351" i="1"/>
  <c r="R1351" i="1"/>
  <c r="AB1351" i="1"/>
  <c r="S1378" i="1"/>
  <c r="L1384" i="1"/>
  <c r="P1384" i="1"/>
  <c r="U1384" i="1"/>
  <c r="AA1401" i="1"/>
  <c r="H1413" i="1"/>
  <c r="F1413" i="1"/>
  <c r="S1413" i="1"/>
  <c r="W1413" i="1"/>
  <c r="AA1413" i="1"/>
  <c r="AN1451" i="1"/>
  <c r="AP1451" i="1" s="1"/>
  <c r="AH1492" i="1"/>
  <c r="AI1492" i="1" s="1"/>
  <c r="O1479" i="1"/>
  <c r="S1479" i="1"/>
  <c r="AM1504" i="1"/>
  <c r="AA1505" i="1"/>
  <c r="AB1562" i="1"/>
  <c r="Z1567" i="1"/>
  <c r="I287" i="1"/>
  <c r="AN431" i="1"/>
  <c r="AO431" i="1" s="1"/>
  <c r="R311" i="1"/>
  <c r="S339" i="1"/>
  <c r="Z330" i="1"/>
  <c r="U339" i="1"/>
  <c r="Y337" i="1"/>
  <c r="Z337" i="1" s="1"/>
  <c r="L350" i="1"/>
  <c r="U350" i="1"/>
  <c r="AB350" i="1"/>
  <c r="H361" i="1"/>
  <c r="Z390" i="1"/>
  <c r="U401" i="1"/>
  <c r="Z406" i="1"/>
  <c r="L414" i="1"/>
  <c r="P414" i="1"/>
  <c r="F440" i="1"/>
  <c r="V440" i="1"/>
  <c r="K440" i="1"/>
  <c r="O440" i="1"/>
  <c r="AI605" i="1"/>
  <c r="I484" i="1"/>
  <c r="U484" i="1"/>
  <c r="AF614" i="1"/>
  <c r="N513" i="1"/>
  <c r="Z508" i="1"/>
  <c r="I540" i="1"/>
  <c r="V540" i="1"/>
  <c r="O540" i="1"/>
  <c r="T540" i="1"/>
  <c r="AB540" i="1"/>
  <c r="AG607" i="1"/>
  <c r="J540" i="1"/>
  <c r="N540" i="1"/>
  <c r="U575" i="1"/>
  <c r="D586" i="1"/>
  <c r="E605" i="1"/>
  <c r="V629" i="1"/>
  <c r="AA644" i="1"/>
  <c r="AG750" i="1"/>
  <c r="AB644" i="1"/>
  <c r="AJ736" i="1"/>
  <c r="Z636" i="1"/>
  <c r="H644" i="1"/>
  <c r="AJ727" i="1"/>
  <c r="AR727" i="1" s="1"/>
  <c r="AM727" i="1"/>
  <c r="AI738" i="1"/>
  <c r="Z651" i="1"/>
  <c r="AH726" i="1"/>
  <c r="Z653" i="1"/>
  <c r="S668" i="1"/>
  <c r="AB715" i="1"/>
  <c r="J715" i="1"/>
  <c r="P724" i="1"/>
  <c r="I749" i="1"/>
  <c r="AA749" i="1"/>
  <c r="Y745" i="1"/>
  <c r="Z766" i="1"/>
  <c r="E798" i="1"/>
  <c r="K798" i="1"/>
  <c r="Z791" i="1"/>
  <c r="AH871" i="1"/>
  <c r="AL871" i="1"/>
  <c r="D809" i="1"/>
  <c r="I809" i="1"/>
  <c r="J809" i="1"/>
  <c r="T833" i="1"/>
  <c r="AB881" i="1"/>
  <c r="AA894" i="1"/>
  <c r="X894" i="1"/>
  <c r="AN982" i="1"/>
  <c r="AP982" i="1" s="1"/>
  <c r="Z920" i="1"/>
  <c r="K924" i="1"/>
  <c r="Z940" i="1"/>
  <c r="Z943" i="1"/>
  <c r="AO980" i="1"/>
  <c r="T1003" i="1"/>
  <c r="X1003" i="1"/>
  <c r="E1003" i="1"/>
  <c r="AB1003" i="1"/>
  <c r="Z997" i="1"/>
  <c r="AG1092" i="1"/>
  <c r="AJ1093" i="1"/>
  <c r="AM1093" i="1"/>
  <c r="AH1097" i="1"/>
  <c r="AL1097" i="1"/>
  <c r="F1034" i="1"/>
  <c r="F1044" i="1"/>
  <c r="K1044" i="1"/>
  <c r="O1044" i="1"/>
  <c r="S1044" i="1"/>
  <c r="J1044" i="1"/>
  <c r="N1044" i="1"/>
  <c r="Z1041" i="1"/>
  <c r="N1061" i="1"/>
  <c r="Z1059" i="1"/>
  <c r="Y1081" i="1"/>
  <c r="Z1078" i="1"/>
  <c r="H1089" i="1"/>
  <c r="P1099" i="1"/>
  <c r="AF1154" i="1"/>
  <c r="AJ1154" i="1"/>
  <c r="AM1154" i="1"/>
  <c r="E1124" i="1"/>
  <c r="Z1142" i="1"/>
  <c r="AA1149" i="1"/>
  <c r="E1158" i="1"/>
  <c r="H1158" i="1"/>
  <c r="Y1167" i="1"/>
  <c r="AO1246" i="1"/>
  <c r="K1186" i="1"/>
  <c r="O1186" i="1"/>
  <c r="S1186" i="1"/>
  <c r="AF1247" i="1"/>
  <c r="AI1248" i="1"/>
  <c r="AA1186" i="1"/>
  <c r="Z1196" i="1"/>
  <c r="AL1241" i="1"/>
  <c r="Z1216" i="1"/>
  <c r="AM1263" i="1"/>
  <c r="AN1263" i="1" s="1"/>
  <c r="AJ1347" i="1"/>
  <c r="AL1348" i="1"/>
  <c r="Z1312" i="1"/>
  <c r="Z1336" i="1"/>
  <c r="Z1338" i="1"/>
  <c r="AF1351" i="1"/>
  <c r="K1351" i="1"/>
  <c r="O1351" i="1"/>
  <c r="S1351" i="1"/>
  <c r="Z1348" i="1"/>
  <c r="J1367" i="1"/>
  <c r="AI1402" i="1"/>
  <c r="AB1378" i="1"/>
  <c r="X1378" i="1"/>
  <c r="Z1381" i="1"/>
  <c r="I1384" i="1"/>
  <c r="V1384" i="1"/>
  <c r="AA1384" i="1"/>
  <c r="E1401" i="1"/>
  <c r="V1401" i="1"/>
  <c r="AB1401" i="1"/>
  <c r="K1401" i="1"/>
  <c r="AI1412" i="1"/>
  <c r="AK1412" i="1" s="1"/>
  <c r="Y1408" i="1"/>
  <c r="K1413" i="1"/>
  <c r="O1413" i="1"/>
  <c r="T1413" i="1"/>
  <c r="X1413" i="1"/>
  <c r="E1413" i="1"/>
  <c r="V1413" i="1"/>
  <c r="Y1421" i="1"/>
  <c r="Z1421" i="1" s="1"/>
  <c r="AG1443" i="1"/>
  <c r="AO1443" i="1"/>
  <c r="AJ1449" i="1"/>
  <c r="E1469" i="1"/>
  <c r="U1469" i="1"/>
  <c r="Z1475" i="1"/>
  <c r="U1491" i="1"/>
  <c r="AO1493" i="1"/>
  <c r="P1491" i="1"/>
  <c r="AG1504" i="1"/>
  <c r="AI1504" i="1" s="1"/>
  <c r="AB1542" i="1"/>
  <c r="Z1560" i="1"/>
  <c r="O108" i="1"/>
  <c r="AL143" i="1"/>
  <c r="AN143" i="1" s="1"/>
  <c r="Y744" i="1"/>
  <c r="R749" i="1"/>
  <c r="Y511" i="1"/>
  <c r="Y513" i="1" s="1"/>
  <c r="R513" i="1"/>
  <c r="Y51" i="1"/>
  <c r="Z51" i="1" s="1"/>
  <c r="H55" i="1"/>
  <c r="R694" i="1"/>
  <c r="Y684" i="1"/>
  <c r="Y694" i="1" s="1"/>
  <c r="AL746" i="1"/>
  <c r="AN746" i="1" s="1"/>
  <c r="AP746" i="1" s="1"/>
  <c r="O724" i="1"/>
  <c r="Z825" i="1"/>
  <c r="D833" i="1"/>
  <c r="E935" i="1"/>
  <c r="AG973" i="1"/>
  <c r="AI973" i="1" s="1"/>
  <c r="Y1435" i="1"/>
  <c r="Y1442" i="1" s="1"/>
  <c r="H1442" i="1"/>
  <c r="J47" i="1"/>
  <c r="AN91" i="1"/>
  <c r="AP91" i="1" s="1"/>
  <c r="AB92" i="1"/>
  <c r="P108" i="1"/>
  <c r="AG256" i="1"/>
  <c r="AI256" i="1" s="1"/>
  <c r="Z208" i="1"/>
  <c r="Z421" i="1"/>
  <c r="F25" i="1"/>
  <c r="F47" i="1"/>
  <c r="F80" i="1"/>
  <c r="N80" i="1"/>
  <c r="V80" i="1"/>
  <c r="Z70" i="1"/>
  <c r="T142" i="1"/>
  <c r="D160" i="1"/>
  <c r="L218" i="1"/>
  <c r="AL261" i="1"/>
  <c r="AN261" i="1" s="1"/>
  <c r="T233" i="1"/>
  <c r="E263" i="1"/>
  <c r="AG440" i="1"/>
  <c r="AM437" i="1"/>
  <c r="V414" i="1"/>
  <c r="AG438" i="1"/>
  <c r="AA472" i="1"/>
  <c r="Z519" i="1"/>
  <c r="O549" i="1"/>
  <c r="K575" i="1"/>
  <c r="T575" i="1"/>
  <c r="F605" i="1"/>
  <c r="Z609" i="1"/>
  <c r="I820" i="1"/>
  <c r="Z865" i="1"/>
  <c r="AH85" i="1"/>
  <c r="AL86" i="1"/>
  <c r="AG87" i="1"/>
  <c r="AM89" i="1"/>
  <c r="E47" i="1"/>
  <c r="U47" i="1"/>
  <c r="U80" i="1"/>
  <c r="Y92" i="1"/>
  <c r="X92" i="1"/>
  <c r="K25" i="1"/>
  <c r="H47" i="1"/>
  <c r="L47" i="1"/>
  <c r="P47" i="1"/>
  <c r="T47" i="1"/>
  <c r="Z37" i="1"/>
  <c r="Z69" i="1"/>
  <c r="Z71" i="1"/>
  <c r="Z73" i="1"/>
  <c r="S92" i="1"/>
  <c r="K108" i="1"/>
  <c r="AL142" i="1"/>
  <c r="AG144" i="1"/>
  <c r="AI144" i="1" s="1"/>
  <c r="Z105" i="1"/>
  <c r="AO144" i="1"/>
  <c r="AM141" i="1"/>
  <c r="V142" i="1"/>
  <c r="X142" i="1"/>
  <c r="AB160" i="1"/>
  <c r="AA181" i="1"/>
  <c r="Z171" i="1"/>
  <c r="S181" i="1"/>
  <c r="Z173" i="1"/>
  <c r="AF255" i="1"/>
  <c r="Z187" i="1"/>
  <c r="V233" i="1"/>
  <c r="L339" i="1"/>
  <c r="AA401" i="1"/>
  <c r="K451" i="1"/>
  <c r="O451" i="1"/>
  <c r="F451" i="1"/>
  <c r="Z467" i="1"/>
  <c r="T484" i="1"/>
  <c r="L499" i="1"/>
  <c r="U499" i="1"/>
  <c r="Z584" i="1"/>
  <c r="Z590" i="1"/>
  <c r="L605" i="1"/>
  <c r="P605" i="1"/>
  <c r="U605" i="1"/>
  <c r="AA605" i="1"/>
  <c r="Z608" i="1"/>
  <c r="Z610" i="1"/>
  <c r="O668" i="1"/>
  <c r="F694" i="1"/>
  <c r="N694" i="1"/>
  <c r="V694" i="1"/>
  <c r="E694" i="1"/>
  <c r="Z719" i="1"/>
  <c r="AB738" i="1"/>
  <c r="H738" i="1"/>
  <c r="AF867" i="1"/>
  <c r="AJ865" i="1"/>
  <c r="AG861" i="1"/>
  <c r="F924" i="1"/>
  <c r="Z928" i="1"/>
  <c r="I955" i="1"/>
  <c r="I967" i="1"/>
  <c r="U967" i="1"/>
  <c r="Y967" i="1"/>
  <c r="AA1175" i="1"/>
  <c r="Z1437" i="1"/>
  <c r="H1574" i="1"/>
  <c r="R703" i="1"/>
  <c r="Y697" i="1"/>
  <c r="Z697" i="1" s="1"/>
  <c r="D847" i="1"/>
  <c r="Z22" i="1"/>
  <c r="AF86" i="1"/>
  <c r="Y622" i="1"/>
  <c r="Z622" i="1" s="1"/>
  <c r="R629" i="1"/>
  <c r="R361" i="1"/>
  <c r="Y359" i="1"/>
  <c r="Z359" i="1" s="1"/>
  <c r="R525" i="1"/>
  <c r="Y523" i="1"/>
  <c r="F1124" i="1"/>
  <c r="AH1153" i="1"/>
  <c r="AB1555" i="1"/>
  <c r="Z1555" i="1"/>
  <c r="I380" i="1"/>
  <c r="V380" i="1"/>
  <c r="D894" i="1"/>
  <c r="AL85" i="1"/>
  <c r="AN85" i="1" s="1"/>
  <c r="U1517" i="1"/>
  <c r="AO89" i="1"/>
  <c r="AO86" i="1"/>
  <c r="J80" i="1"/>
  <c r="Z72" i="1"/>
  <c r="J181" i="1"/>
  <c r="P218" i="1"/>
  <c r="P245" i="1"/>
  <c r="I263" i="1"/>
  <c r="AJ437" i="1"/>
  <c r="F339" i="1"/>
  <c r="J423" i="1"/>
  <c r="D513" i="1"/>
  <c r="O575" i="1"/>
  <c r="Z611" i="1"/>
  <c r="AF865" i="1"/>
  <c r="Z961" i="1"/>
  <c r="Z1473" i="1"/>
  <c r="H17" i="1"/>
  <c r="AA17" i="1"/>
  <c r="J17" i="1"/>
  <c r="AJ89" i="1"/>
  <c r="I47" i="1"/>
  <c r="I80" i="1"/>
  <c r="Z62" i="1"/>
  <c r="Z66" i="1"/>
  <c r="T92" i="1"/>
  <c r="U108" i="1"/>
  <c r="AG253" i="1"/>
  <c r="AO253" i="1"/>
  <c r="X201" i="1"/>
  <c r="U254" i="1"/>
  <c r="AJ436" i="1"/>
  <c r="AL444" i="1"/>
  <c r="Z317" i="1"/>
  <c r="X326" i="1"/>
  <c r="AB440" i="1"/>
  <c r="T440" i="1"/>
  <c r="I499" i="1"/>
  <c r="V499" i="1"/>
  <c r="Z490" i="1"/>
  <c r="AA499" i="1"/>
  <c r="AA513" i="1"/>
  <c r="Z504" i="1"/>
  <c r="I525" i="1"/>
  <c r="X540" i="1"/>
  <c r="Z557" i="1"/>
  <c r="Z650" i="1"/>
  <c r="H703" i="1"/>
  <c r="Z728" i="1"/>
  <c r="AH729" i="1"/>
  <c r="Z765" i="1"/>
  <c r="L947" i="1"/>
  <c r="X1124" i="1"/>
  <c r="R1342" i="1"/>
  <c r="D1390" i="1"/>
  <c r="H847" i="1"/>
  <c r="Y840" i="1"/>
  <c r="AJ1444" i="1"/>
  <c r="L1432" i="1"/>
  <c r="AA119" i="1"/>
  <c r="Z113" i="1"/>
  <c r="Z116" i="1"/>
  <c r="AO252" i="1"/>
  <c r="O181" i="1"/>
  <c r="AO256" i="1"/>
  <c r="D218" i="1"/>
  <c r="T218" i="1"/>
  <c r="AH261" i="1"/>
  <c r="L233" i="1"/>
  <c r="U233" i="1"/>
  <c r="L245" i="1"/>
  <c r="T245" i="1"/>
  <c r="T254" i="1"/>
  <c r="AL250" i="1"/>
  <c r="R254" i="1"/>
  <c r="K287" i="1"/>
  <c r="X287" i="1"/>
  <c r="AA297" i="1"/>
  <c r="AM442" i="1"/>
  <c r="AO449" i="1"/>
  <c r="AB311" i="1"/>
  <c r="AO443" i="1"/>
  <c r="V326" i="1"/>
  <c r="H326" i="1"/>
  <c r="K339" i="1"/>
  <c r="O339" i="1"/>
  <c r="D339" i="1"/>
  <c r="P339" i="1"/>
  <c r="D350" i="1"/>
  <c r="AA361" i="1"/>
  <c r="H392" i="1"/>
  <c r="U414" i="1"/>
  <c r="AA414" i="1"/>
  <c r="N423" i="1"/>
  <c r="U440" i="1"/>
  <c r="X472" i="1"/>
  <c r="AN597" i="1"/>
  <c r="AP597" i="1" s="1"/>
  <c r="AN605" i="1"/>
  <c r="Z477" i="1"/>
  <c r="AH606" i="1"/>
  <c r="O513" i="1"/>
  <c r="AJ599" i="1"/>
  <c r="Z523" i="1"/>
  <c r="P540" i="1"/>
  <c r="K549" i="1"/>
  <c r="L561" i="1"/>
  <c r="U561" i="1"/>
  <c r="Z554" i="1"/>
  <c r="AN603" i="1"/>
  <c r="AP603" i="1" s="1"/>
  <c r="F575" i="1"/>
  <c r="J575" i="1"/>
  <c r="K605" i="1"/>
  <c r="AB629" i="1"/>
  <c r="H656" i="1"/>
  <c r="AN747" i="1"/>
  <c r="AP747" i="1" s="1"/>
  <c r="L668" i="1"/>
  <c r="AJ726" i="1"/>
  <c r="N681" i="1"/>
  <c r="Z691" i="1"/>
  <c r="AO748" i="1"/>
  <c r="E738" i="1"/>
  <c r="D749" i="1"/>
  <c r="U749" i="1"/>
  <c r="AO879" i="1"/>
  <c r="AJ881" i="1"/>
  <c r="U881" i="1"/>
  <c r="P935" i="1"/>
  <c r="L967" i="1"/>
  <c r="AH1090" i="1"/>
  <c r="N1003" i="1"/>
  <c r="AF1091" i="1"/>
  <c r="Z995" i="1"/>
  <c r="AF1342" i="1"/>
  <c r="AP1411" i="1"/>
  <c r="AB1569" i="1"/>
  <c r="K17" i="1"/>
  <c r="AL82" i="1"/>
  <c r="AN82" i="1" s="1"/>
  <c r="T17" i="1"/>
  <c r="AL80" i="1"/>
  <c r="AN80" i="1" s="1"/>
  <c r="AG88" i="1"/>
  <c r="O25" i="1"/>
  <c r="T25" i="1"/>
  <c r="X25" i="1"/>
  <c r="AJ85" i="1"/>
  <c r="AA25" i="1"/>
  <c r="S47" i="1"/>
  <c r="K47" i="1"/>
  <c r="AI92" i="1"/>
  <c r="O47" i="1"/>
  <c r="Z38" i="1"/>
  <c r="AG89" i="1"/>
  <c r="AI89" i="1" s="1"/>
  <c r="AH88" i="1"/>
  <c r="AB55" i="1"/>
  <c r="AG80" i="1"/>
  <c r="AG94" i="1" s="1"/>
  <c r="V55" i="1"/>
  <c r="AO88" i="1" s="1"/>
  <c r="Z63" i="1"/>
  <c r="Z67" i="1"/>
  <c r="AO83" i="1"/>
  <c r="AB80" i="1"/>
  <c r="Y76" i="1"/>
  <c r="AJ83" i="1"/>
  <c r="AM83" i="1"/>
  <c r="I108" i="1"/>
  <c r="AL140" i="1"/>
  <c r="AN140" i="1" s="1"/>
  <c r="AP140" i="1" s="1"/>
  <c r="AG143" i="1"/>
  <c r="AO143" i="1"/>
  <c r="AP143" i="1" s="1"/>
  <c r="AI160" i="1"/>
  <c r="AQ160" i="1" s="1"/>
  <c r="AR160" i="1" s="1"/>
  <c r="K119" i="1"/>
  <c r="AB119" i="1"/>
  <c r="AM144" i="1"/>
  <c r="T119" i="1"/>
  <c r="X119" i="1"/>
  <c r="F128" i="1"/>
  <c r="J128" i="1"/>
  <c r="Z125" i="1"/>
  <c r="AA128" i="1"/>
  <c r="L142" i="1"/>
  <c r="P142" i="1"/>
  <c r="I142" i="1"/>
  <c r="J160" i="1"/>
  <c r="R160" i="1"/>
  <c r="Z146" i="1"/>
  <c r="T160" i="1"/>
  <c r="Z150" i="1"/>
  <c r="Z152" i="1"/>
  <c r="AF153" i="1"/>
  <c r="Z156" i="1"/>
  <c r="AH253" i="1"/>
  <c r="Z168" i="1"/>
  <c r="Z172" i="1"/>
  <c r="AJ252" i="1"/>
  <c r="AH255" i="1"/>
  <c r="AL255" i="1"/>
  <c r="AG258" i="1"/>
  <c r="AB201" i="1"/>
  <c r="S201" i="1"/>
  <c r="K218" i="1"/>
  <c r="Z205" i="1"/>
  <c r="Z209" i="1"/>
  <c r="AG261" i="1"/>
  <c r="AO261" i="1"/>
  <c r="F233" i="1"/>
  <c r="K233" i="1"/>
  <c r="O233" i="1"/>
  <c r="X233" i="1"/>
  <c r="H233" i="1"/>
  <c r="Z228" i="1"/>
  <c r="O245" i="1"/>
  <c r="K245" i="1"/>
  <c r="AJ255" i="1"/>
  <c r="AM255" i="1"/>
  <c r="Y242" i="1"/>
  <c r="Z242" i="1" s="1"/>
  <c r="AI262" i="1"/>
  <c r="AQ262" i="1" s="1"/>
  <c r="AR262" i="1" s="1"/>
  <c r="F254" i="1"/>
  <c r="K254" i="1"/>
  <c r="O254" i="1"/>
  <c r="S254" i="1"/>
  <c r="Z249" i="1"/>
  <c r="Z251" i="1"/>
  <c r="N287" i="1"/>
  <c r="Y270" i="1"/>
  <c r="Z270" i="1" s="1"/>
  <c r="AL437" i="1"/>
  <c r="Z273" i="1"/>
  <c r="AH429" i="1"/>
  <c r="R287" i="1"/>
  <c r="AI431" i="1"/>
  <c r="AH440" i="1"/>
  <c r="AH439" i="1"/>
  <c r="Y284" i="1"/>
  <c r="Z284" i="1" s="1"/>
  <c r="AO440" i="1"/>
  <c r="I297" i="1"/>
  <c r="T297" i="1"/>
  <c r="X297" i="1"/>
  <c r="AB297" i="1"/>
  <c r="AH449" i="1"/>
  <c r="AG449" i="1"/>
  <c r="L311" i="1"/>
  <c r="D311" i="1"/>
  <c r="AM443" i="1"/>
  <c r="I311" i="1"/>
  <c r="Y308" i="1"/>
  <c r="Z308" i="1" s="1"/>
  <c r="U326" i="1"/>
  <c r="AA326" i="1"/>
  <c r="S326" i="1"/>
  <c r="AG448" i="1"/>
  <c r="AB326" i="1"/>
  <c r="J339" i="1"/>
  <c r="N339" i="1"/>
  <c r="E339" i="1"/>
  <c r="AG430" i="1"/>
  <c r="AI430" i="1" s="1"/>
  <c r="Z353" i="1"/>
  <c r="I361" i="1"/>
  <c r="AB380" i="1"/>
  <c r="D392" i="1"/>
  <c r="D401" i="1"/>
  <c r="I401" i="1"/>
  <c r="AF440" i="1"/>
  <c r="D414" i="1"/>
  <c r="T414" i="1"/>
  <c r="X414" i="1"/>
  <c r="O414" i="1"/>
  <c r="D423" i="1"/>
  <c r="AI441" i="1"/>
  <c r="AQ441" i="1" s="1"/>
  <c r="AR441" i="1" s="1"/>
  <c r="Z420" i="1"/>
  <c r="D440" i="1"/>
  <c r="H440" i="1"/>
  <c r="L440" i="1"/>
  <c r="X440" i="1"/>
  <c r="AJ440" i="1"/>
  <c r="Z438" i="1"/>
  <c r="I451" i="1"/>
  <c r="V451" i="1"/>
  <c r="AB451" i="1"/>
  <c r="K472" i="1"/>
  <c r="Z460" i="1"/>
  <c r="AH600" i="1"/>
  <c r="AL600" i="1"/>
  <c r="AH597" i="1"/>
  <c r="Z468" i="1"/>
  <c r="L484" i="1"/>
  <c r="P484" i="1"/>
  <c r="E484" i="1"/>
  <c r="Z480" i="1"/>
  <c r="AO607" i="1"/>
  <c r="AM614" i="1"/>
  <c r="AG606" i="1"/>
  <c r="AO606" i="1"/>
  <c r="K499" i="1"/>
  <c r="O499" i="1"/>
  <c r="T499" i="1"/>
  <c r="X499" i="1"/>
  <c r="Z491" i="1"/>
  <c r="H499" i="1"/>
  <c r="S513" i="1"/>
  <c r="Z503" i="1"/>
  <c r="E525" i="1"/>
  <c r="F540" i="1"/>
  <c r="K540" i="1"/>
  <c r="E540" i="1"/>
  <c r="Z538" i="1"/>
  <c r="AA549" i="1"/>
  <c r="Z547" i="1"/>
  <c r="Z555" i="1"/>
  <c r="I575" i="1"/>
  <c r="V575" i="1"/>
  <c r="AB575" i="1"/>
  <c r="Z566" i="1"/>
  <c r="H596" i="1"/>
  <c r="Z592" i="1"/>
  <c r="AH596" i="1"/>
  <c r="Z600" i="1"/>
  <c r="Y601" i="1"/>
  <c r="Z601" i="1" s="1"/>
  <c r="O605" i="1"/>
  <c r="I614" i="1"/>
  <c r="X629" i="1"/>
  <c r="S644" i="1"/>
  <c r="Z633" i="1"/>
  <c r="AJ738" i="1"/>
  <c r="AK738" i="1" s="1"/>
  <c r="AM738" i="1"/>
  <c r="AG737" i="1"/>
  <c r="F656" i="1"/>
  <c r="R656" i="1"/>
  <c r="J668" i="1"/>
  <c r="N668" i="1"/>
  <c r="R668" i="1"/>
  <c r="V668" i="1"/>
  <c r="AB668" i="1"/>
  <c r="E681" i="1"/>
  <c r="U681" i="1"/>
  <c r="AA681" i="1"/>
  <c r="P681" i="1"/>
  <c r="H694" i="1"/>
  <c r="P694" i="1"/>
  <c r="J694" i="1"/>
  <c r="AA694" i="1"/>
  <c r="L703" i="1"/>
  <c r="I703" i="1"/>
  <c r="K715" i="1"/>
  <c r="AL749" i="1"/>
  <c r="AN749" i="1" s="1"/>
  <c r="AP749" i="1" s="1"/>
  <c r="S724" i="1"/>
  <c r="AB724" i="1"/>
  <c r="Z722" i="1"/>
  <c r="P749" i="1"/>
  <c r="Y746" i="1"/>
  <c r="Z746" i="1" s="1"/>
  <c r="Y757" i="1"/>
  <c r="Z757" i="1" s="1"/>
  <c r="AM867" i="1"/>
  <c r="U775" i="1"/>
  <c r="Z767" i="1"/>
  <c r="Z769" i="1"/>
  <c r="E775" i="1"/>
  <c r="AJ869" i="1"/>
  <c r="I784" i="1"/>
  <c r="AH879" i="1"/>
  <c r="K784" i="1"/>
  <c r="AL879" i="1"/>
  <c r="AN879" i="1" s="1"/>
  <c r="AP879" i="1" s="1"/>
  <c r="H784" i="1"/>
  <c r="F809" i="1"/>
  <c r="U809" i="1"/>
  <c r="Z807" i="1"/>
  <c r="AO871" i="1"/>
  <c r="E856" i="1"/>
  <c r="J856" i="1"/>
  <c r="N856" i="1"/>
  <c r="P871" i="1"/>
  <c r="AN872" i="1"/>
  <c r="Z890" i="1"/>
  <c r="AJ980" i="1"/>
  <c r="AM980" i="1"/>
  <c r="AN973" i="1"/>
  <c r="K947" i="1"/>
  <c r="O947" i="1"/>
  <c r="Z939" i="1"/>
  <c r="Z945" i="1"/>
  <c r="AA947" i="1"/>
  <c r="AB975" i="1"/>
  <c r="E1023" i="1"/>
  <c r="L1136" i="1"/>
  <c r="P1136" i="1"/>
  <c r="U1136" i="1"/>
  <c r="AA1136" i="1"/>
  <c r="AI1159" i="1"/>
  <c r="Z1171" i="1"/>
  <c r="T1199" i="1"/>
  <c r="AA1224" i="1"/>
  <c r="AP1267" i="1"/>
  <c r="H1224" i="1"/>
  <c r="Z1245" i="1"/>
  <c r="Z1263" i="1"/>
  <c r="AL1342" i="1"/>
  <c r="N1315" i="1"/>
  <c r="Z1306" i="1"/>
  <c r="AG1339" i="1"/>
  <c r="AO1339" i="1"/>
  <c r="E1342" i="1"/>
  <c r="J1384" i="1"/>
  <c r="N1384" i="1"/>
  <c r="S1384" i="1"/>
  <c r="AN1444" i="1"/>
  <c r="AP1444" i="1" s="1"/>
  <c r="Z1502" i="1"/>
  <c r="Z901" i="1"/>
  <c r="AF979" i="1"/>
  <c r="D915" i="1"/>
  <c r="AF982" i="1"/>
  <c r="AF141" i="1"/>
  <c r="U119" i="1"/>
  <c r="AJ144" i="1"/>
  <c r="AH258" i="1"/>
  <c r="Z185" i="1"/>
  <c r="I201" i="1"/>
  <c r="X218" i="1"/>
  <c r="H218" i="1"/>
  <c r="P233" i="1"/>
  <c r="Z227" i="1"/>
  <c r="X245" i="1"/>
  <c r="AN257" i="1"/>
  <c r="AP257" i="1" s="1"/>
  <c r="X254" i="1"/>
  <c r="S287" i="1"/>
  <c r="AL440" i="1"/>
  <c r="AO439" i="1"/>
  <c r="AI444" i="1"/>
  <c r="AF442" i="1"/>
  <c r="AJ442" i="1"/>
  <c r="AL448" i="1"/>
  <c r="X311" i="1"/>
  <c r="AG443" i="1"/>
  <c r="T339" i="1"/>
  <c r="J350" i="1"/>
  <c r="AA440" i="1"/>
  <c r="S440" i="1"/>
  <c r="AL430" i="1"/>
  <c r="AN430" i="1" s="1"/>
  <c r="AO430" i="1" s="1"/>
  <c r="AI450" i="1"/>
  <c r="AK450" i="1" s="1"/>
  <c r="AS449" i="1" s="1"/>
  <c r="T472" i="1"/>
  <c r="V1577" i="1"/>
  <c r="V1630" i="1" s="1"/>
  <c r="Z479" i="1"/>
  <c r="D499" i="1"/>
  <c r="T513" i="1"/>
  <c r="J525" i="1"/>
  <c r="L540" i="1"/>
  <c r="Z531" i="1"/>
  <c r="F549" i="1"/>
  <c r="H561" i="1"/>
  <c r="P561" i="1"/>
  <c r="I561" i="1"/>
  <c r="V561" i="1"/>
  <c r="X561" i="1"/>
  <c r="E575" i="1"/>
  <c r="Z591" i="1"/>
  <c r="I629" i="1"/>
  <c r="T644" i="1"/>
  <c r="P656" i="1"/>
  <c r="P668" i="1"/>
  <c r="Z664" i="1"/>
  <c r="AM726" i="1"/>
  <c r="K681" i="1"/>
  <c r="J681" i="1"/>
  <c r="U694" i="1"/>
  <c r="AB703" i="1"/>
  <c r="X715" i="1"/>
  <c r="AG748" i="1"/>
  <c r="X724" i="1"/>
  <c r="J724" i="1"/>
  <c r="I738" i="1"/>
  <c r="AO729" i="1"/>
  <c r="AH868" i="1"/>
  <c r="AG862" i="1"/>
  <c r="V833" i="1"/>
  <c r="Z853" i="1"/>
  <c r="Z877" i="1"/>
  <c r="Z910" i="1"/>
  <c r="Z931" i="1"/>
  <c r="P955" i="1"/>
  <c r="P967" i="1"/>
  <c r="J1003" i="1"/>
  <c r="AM1091" i="1"/>
  <c r="AB1011" i="1"/>
  <c r="AH82" i="1"/>
  <c r="Z11" i="1"/>
  <c r="E25" i="1"/>
  <c r="J25" i="1"/>
  <c r="N25" i="1"/>
  <c r="S25" i="1"/>
  <c r="AB25" i="1"/>
  <c r="AG86" i="1"/>
  <c r="N47" i="1"/>
  <c r="AA47" i="1"/>
  <c r="Z35" i="1"/>
  <c r="Z39" i="1"/>
  <c r="D55" i="1"/>
  <c r="AA55" i="1"/>
  <c r="AF80" i="1"/>
  <c r="AF94" i="1" s="1"/>
  <c r="Z52" i="1"/>
  <c r="AJ80" i="1"/>
  <c r="AJ94" i="1" s="1"/>
  <c r="F55" i="1"/>
  <c r="K55" i="1"/>
  <c r="H80" i="1"/>
  <c r="L80" i="1"/>
  <c r="Z64" i="1"/>
  <c r="S80" i="1"/>
  <c r="E92" i="1"/>
  <c r="I92" i="1"/>
  <c r="U92" i="1"/>
  <c r="O92" i="1"/>
  <c r="L108" i="1"/>
  <c r="D108" i="1"/>
  <c r="AF143" i="1"/>
  <c r="Z106" i="1"/>
  <c r="F119" i="1"/>
  <c r="AF142" i="1"/>
  <c r="Z112" i="1"/>
  <c r="AM142" i="1"/>
  <c r="AN142" i="1" s="1"/>
  <c r="R119" i="1"/>
  <c r="E128" i="1"/>
  <c r="AB128" i="1"/>
  <c r="I128" i="1"/>
  <c r="V128" i="1"/>
  <c r="Z124" i="1"/>
  <c r="AI157" i="1"/>
  <c r="AK157" i="1" s="1"/>
  <c r="X128" i="1"/>
  <c r="K142" i="1"/>
  <c r="O142" i="1"/>
  <c r="S142" i="1"/>
  <c r="Z132" i="1"/>
  <c r="Z139" i="1"/>
  <c r="E160" i="1"/>
  <c r="I160" i="1"/>
  <c r="U160" i="1"/>
  <c r="N160" i="1"/>
  <c r="S160" i="1"/>
  <c r="AI145" i="1"/>
  <c r="AK145" i="1" s="1"/>
  <c r="AB181" i="1"/>
  <c r="AG254" i="1"/>
  <c r="AI254" i="1" s="1"/>
  <c r="I181" i="1"/>
  <c r="AO254" i="1"/>
  <c r="N181" i="1"/>
  <c r="H201" i="1"/>
  <c r="L201" i="1"/>
  <c r="P201" i="1"/>
  <c r="U201" i="1"/>
  <c r="Z188" i="1"/>
  <c r="V201" i="1"/>
  <c r="R218" i="1"/>
  <c r="AB218" i="1"/>
  <c r="Z206" i="1"/>
  <c r="V218" i="1"/>
  <c r="Z213" i="1"/>
  <c r="Z215" i="1"/>
  <c r="Z229" i="1"/>
  <c r="AF261" i="1"/>
  <c r="Z231" i="1"/>
  <c r="AI257" i="1"/>
  <c r="Z243" i="1"/>
  <c r="E254" i="1"/>
  <c r="J254" i="1"/>
  <c r="N254" i="1"/>
  <c r="V254" i="1"/>
  <c r="AB254" i="1"/>
  <c r="AG250" i="1"/>
  <c r="AO250" i="1"/>
  <c r="J263" i="1"/>
  <c r="S263" i="1"/>
  <c r="D263" i="1"/>
  <c r="AH438" i="1"/>
  <c r="Z276" i="1"/>
  <c r="Z278" i="1"/>
  <c r="L287" i="1"/>
  <c r="AB287" i="1"/>
  <c r="AJ439" i="1"/>
  <c r="AM439" i="1"/>
  <c r="S297" i="1"/>
  <c r="Z304" i="1"/>
  <c r="AL443" i="1"/>
  <c r="Z309" i="1"/>
  <c r="T326" i="1"/>
  <c r="I326" i="1"/>
  <c r="AH443" i="1"/>
  <c r="Z321" i="1"/>
  <c r="AH448" i="1"/>
  <c r="AI448" i="1" s="1"/>
  <c r="Z331" i="1"/>
  <c r="Z344" i="1"/>
  <c r="Y350" i="1"/>
  <c r="Z356" i="1"/>
  <c r="E380" i="1"/>
  <c r="AA380" i="1"/>
  <c r="N380" i="1"/>
  <c r="AF429" i="1"/>
  <c r="H380" i="1"/>
  <c r="AJ429" i="1"/>
  <c r="AM444" i="1"/>
  <c r="L401" i="1"/>
  <c r="P401" i="1"/>
  <c r="Y401" i="1"/>
  <c r="S414" i="1"/>
  <c r="Z407" i="1"/>
  <c r="Z416" i="1"/>
  <c r="L423" i="1"/>
  <c r="Z430" i="1"/>
  <c r="Z431" i="1"/>
  <c r="Z435" i="1"/>
  <c r="L451" i="1"/>
  <c r="Z447" i="1"/>
  <c r="F472" i="1"/>
  <c r="J472" i="1"/>
  <c r="AL599" i="1"/>
  <c r="Z461" i="1"/>
  <c r="I472" i="1"/>
  <c r="AI597" i="1"/>
  <c r="AK597" i="1" s="1"/>
  <c r="AS596" i="1" s="1"/>
  <c r="AQ605" i="1"/>
  <c r="K484" i="1"/>
  <c r="D484" i="1"/>
  <c r="Z476" i="1"/>
  <c r="Z482" i="1"/>
  <c r="Z489" i="1"/>
  <c r="Z492" i="1"/>
  <c r="E513" i="1"/>
  <c r="V513" i="1"/>
  <c r="H513" i="1"/>
  <c r="Z507" i="1"/>
  <c r="L513" i="1"/>
  <c r="H525" i="1"/>
  <c r="L525" i="1"/>
  <c r="P525" i="1"/>
  <c r="U525" i="1"/>
  <c r="Z518" i="1"/>
  <c r="AH612" i="1"/>
  <c r="Z521" i="1"/>
  <c r="Z530" i="1"/>
  <c r="Z534" i="1"/>
  <c r="AM602" i="1"/>
  <c r="J561" i="1"/>
  <c r="S561" i="1"/>
  <c r="Z556" i="1"/>
  <c r="H575" i="1"/>
  <c r="P575" i="1"/>
  <c r="K596" i="1"/>
  <c r="O596" i="1"/>
  <c r="T596" i="1"/>
  <c r="X596" i="1"/>
  <c r="L596" i="1"/>
  <c r="P596" i="1"/>
  <c r="U596" i="1"/>
  <c r="I605" i="1"/>
  <c r="V605" i="1"/>
  <c r="AB605" i="1"/>
  <c r="Z603" i="1"/>
  <c r="D614" i="1"/>
  <c r="H614" i="1"/>
  <c r="U614" i="1"/>
  <c r="J644" i="1"/>
  <c r="N644" i="1"/>
  <c r="AH750" i="1"/>
  <c r="AI750" i="1" s="1"/>
  <c r="AQ750" i="1" s="1"/>
  <c r="AR750" i="1" s="1"/>
  <c r="AL750" i="1"/>
  <c r="AN750" i="1" s="1"/>
  <c r="AP750" i="1" s="1"/>
  <c r="X644" i="1"/>
  <c r="I644" i="1"/>
  <c r="AL738" i="1"/>
  <c r="AN738" i="1" s="1"/>
  <c r="AP738" i="1" s="1"/>
  <c r="AO737" i="1"/>
  <c r="AA668" i="1"/>
  <c r="Z661" i="1"/>
  <c r="AJ739" i="1"/>
  <c r="Z665" i="1"/>
  <c r="F668" i="1"/>
  <c r="K668" i="1"/>
  <c r="AL737" i="1"/>
  <c r="H681" i="1"/>
  <c r="S694" i="1"/>
  <c r="AB694" i="1"/>
  <c r="K694" i="1"/>
  <c r="O694" i="1"/>
  <c r="T694" i="1"/>
  <c r="AH732" i="1"/>
  <c r="AI732" i="1" s="1"/>
  <c r="I715" i="1"/>
  <c r="V715" i="1"/>
  <c r="E715" i="1"/>
  <c r="N724" i="1"/>
  <c r="U724" i="1"/>
  <c r="AF726" i="1"/>
  <c r="AJ732" i="1"/>
  <c r="AM732" i="1"/>
  <c r="AN732" i="1" s="1"/>
  <c r="AP732" i="1" s="1"/>
  <c r="F749" i="1"/>
  <c r="L749" i="1"/>
  <c r="K775" i="1"/>
  <c r="AL867" i="1"/>
  <c r="S775" i="1"/>
  <c r="AH869" i="1"/>
  <c r="AL869" i="1"/>
  <c r="AN869" i="1" s="1"/>
  <c r="Y784" i="1"/>
  <c r="AJ867" i="1"/>
  <c r="U798" i="1"/>
  <c r="T820" i="1"/>
  <c r="K833" i="1"/>
  <c r="O833" i="1"/>
  <c r="Z862" i="1"/>
  <c r="AA871" i="1"/>
  <c r="AG865" i="1"/>
  <c r="AO979" i="1"/>
  <c r="Z913" i="1"/>
  <c r="AA924" i="1"/>
  <c r="O935" i="1"/>
  <c r="V947" i="1"/>
  <c r="AO978" i="1"/>
  <c r="Z984" i="1"/>
  <c r="P1003" i="1"/>
  <c r="U1003" i="1"/>
  <c r="X1011" i="1"/>
  <c r="AG1094" i="1"/>
  <c r="AA1023" i="1"/>
  <c r="S1061" i="1"/>
  <c r="X1061" i="1"/>
  <c r="AG1246" i="1"/>
  <c r="AI1246" i="1" s="1"/>
  <c r="J1175" i="1"/>
  <c r="N1237" i="1"/>
  <c r="K1315" i="1"/>
  <c r="Z1310" i="1"/>
  <c r="Z1320" i="1"/>
  <c r="Z1340" i="1"/>
  <c r="J1378" i="1"/>
  <c r="N1378" i="1"/>
  <c r="R1378" i="1"/>
  <c r="V1378" i="1"/>
  <c r="D1384" i="1"/>
  <c r="I1390" i="1"/>
  <c r="I1469" i="1"/>
  <c r="E1479" i="1"/>
  <c r="R1011" i="1"/>
  <c r="Y1006" i="1"/>
  <c r="Z1006" i="1" s="1"/>
  <c r="Z768" i="1"/>
  <c r="AH881" i="1"/>
  <c r="AL881" i="1"/>
  <c r="J784" i="1"/>
  <c r="N784" i="1"/>
  <c r="S784" i="1"/>
  <c r="Z779" i="1"/>
  <c r="Z781" i="1"/>
  <c r="AB798" i="1"/>
  <c r="R798" i="1"/>
  <c r="AO865" i="1"/>
  <c r="Z802" i="1"/>
  <c r="AA820" i="1"/>
  <c r="Z815" i="1"/>
  <c r="Z817" i="1"/>
  <c r="Z826" i="1"/>
  <c r="Y826" i="1"/>
  <c r="L833" i="1"/>
  <c r="AG871" i="1"/>
  <c r="I833" i="1"/>
  <c r="AI880" i="1"/>
  <c r="J847" i="1"/>
  <c r="N847" i="1"/>
  <c r="Y837" i="1"/>
  <c r="Z837" i="1" s="1"/>
  <c r="AJ870" i="1"/>
  <c r="L856" i="1"/>
  <c r="P856" i="1"/>
  <c r="U856" i="1"/>
  <c r="D856" i="1"/>
  <c r="H856" i="1"/>
  <c r="AH861" i="1"/>
  <c r="Z861" i="1"/>
  <c r="U871" i="1"/>
  <c r="X881" i="1"/>
  <c r="J894" i="1"/>
  <c r="S905" i="1"/>
  <c r="Z899" i="1"/>
  <c r="AM979" i="1"/>
  <c r="L915" i="1"/>
  <c r="P915" i="1"/>
  <c r="T915" i="1"/>
  <c r="X915" i="1"/>
  <c r="I915" i="1"/>
  <c r="AO976" i="1"/>
  <c r="AH977" i="1"/>
  <c r="AL977" i="1"/>
  <c r="J915" i="1"/>
  <c r="O924" i="1"/>
  <c r="T924" i="1"/>
  <c r="X924" i="1"/>
  <c r="D935" i="1"/>
  <c r="Y935" i="1"/>
  <c r="AA935" i="1"/>
  <c r="Z929" i="1"/>
  <c r="X935" i="1"/>
  <c r="U947" i="1"/>
  <c r="AG980" i="1"/>
  <c r="AI980" i="1" s="1"/>
  <c r="F947" i="1"/>
  <c r="AL981" i="1"/>
  <c r="N955" i="1"/>
  <c r="S955" i="1"/>
  <c r="AB955" i="1"/>
  <c r="K955" i="1"/>
  <c r="F975" i="1"/>
  <c r="J975" i="1"/>
  <c r="Z971" i="1"/>
  <c r="AA975" i="1"/>
  <c r="L981" i="1"/>
  <c r="E1011" i="1"/>
  <c r="J1011" i="1"/>
  <c r="V1011" i="1"/>
  <c r="AB1023" i="1"/>
  <c r="I1023" i="1"/>
  <c r="AO1094" i="1"/>
  <c r="X1023" i="1"/>
  <c r="D1044" i="1"/>
  <c r="N1052" i="1"/>
  <c r="U1061" i="1"/>
  <c r="Z1063" i="1"/>
  <c r="AA1069" i="1"/>
  <c r="Y1064" i="1"/>
  <c r="Z1064" i="1" s="1"/>
  <c r="E1081" i="1"/>
  <c r="J1081" i="1"/>
  <c r="N1081" i="1"/>
  <c r="S1081" i="1"/>
  <c r="AB1081" i="1"/>
  <c r="K1099" i="1"/>
  <c r="O1099" i="1"/>
  <c r="T1099" i="1"/>
  <c r="X1099" i="1"/>
  <c r="Z1094" i="1"/>
  <c r="N1116" i="1"/>
  <c r="S1116" i="1"/>
  <c r="Z1108" i="1"/>
  <c r="AH1155" i="1"/>
  <c r="U1124" i="1"/>
  <c r="AO1156" i="1"/>
  <c r="K1136" i="1"/>
  <c r="J1149" i="1"/>
  <c r="N1149" i="1"/>
  <c r="S1149" i="1"/>
  <c r="N1158" i="1"/>
  <c r="O1158" i="1"/>
  <c r="T1158" i="1"/>
  <c r="X1158" i="1"/>
  <c r="O1175" i="1"/>
  <c r="Z1168" i="1"/>
  <c r="L1199" i="1"/>
  <c r="P1199" i="1"/>
  <c r="AK1249" i="1"/>
  <c r="AS1248" i="1" s="1"/>
  <c r="J1208" i="1"/>
  <c r="E1224" i="1"/>
  <c r="J1224" i="1"/>
  <c r="N1224" i="1"/>
  <c r="V1224" i="1"/>
  <c r="AB1224" i="1"/>
  <c r="Z1246" i="1"/>
  <c r="F1268" i="1"/>
  <c r="J1268" i="1"/>
  <c r="N1268" i="1"/>
  <c r="V1268" i="1"/>
  <c r="Z1265" i="1"/>
  <c r="AN1266" i="1"/>
  <c r="AP1266" i="1" s="1"/>
  <c r="AH1342" i="1"/>
  <c r="J1286" i="1"/>
  <c r="AJ1339" i="1"/>
  <c r="K1342" i="1"/>
  <c r="O1342" i="1"/>
  <c r="S1342" i="1"/>
  <c r="H1342" i="1"/>
  <c r="L1342" i="1"/>
  <c r="L1351" i="1"/>
  <c r="S1367" i="1"/>
  <c r="E1378" i="1"/>
  <c r="AA1378" i="1"/>
  <c r="F1378" i="1"/>
  <c r="I1378" i="1"/>
  <c r="F1401" i="1"/>
  <c r="O1401" i="1"/>
  <c r="U1413" i="1"/>
  <c r="O1432" i="1"/>
  <c r="S1432" i="1"/>
  <c r="K1442" i="1"/>
  <c r="T1442" i="1"/>
  <c r="X1442" i="1"/>
  <c r="AL1443" i="1"/>
  <c r="E1442" i="1"/>
  <c r="L1451" i="1"/>
  <c r="AN1446" i="1"/>
  <c r="AP1446" i="1" s="1"/>
  <c r="AI1446" i="1"/>
  <c r="D1469" i="1"/>
  <c r="AJ1497" i="1"/>
  <c r="T1469" i="1"/>
  <c r="J1469" i="1"/>
  <c r="N1469" i="1"/>
  <c r="Z1465" i="1"/>
  <c r="J1491" i="1"/>
  <c r="N1491" i="1"/>
  <c r="AM1501" i="1"/>
  <c r="Z1488" i="1"/>
  <c r="E1505" i="1"/>
  <c r="J1505" i="1"/>
  <c r="N1505" i="1"/>
  <c r="Z1498" i="1"/>
  <c r="AB1540" i="1"/>
  <c r="AB1544" i="1"/>
  <c r="AB1548" i="1"/>
  <c r="AB1558" i="1"/>
  <c r="AO1501" i="1"/>
  <c r="AO1502" i="1"/>
  <c r="AB1563" i="1"/>
  <c r="Z1563" i="1"/>
  <c r="AJ871" i="1"/>
  <c r="AM871" i="1"/>
  <c r="AO870" i="1"/>
  <c r="K820" i="1"/>
  <c r="J820" i="1"/>
  <c r="N820" i="1"/>
  <c r="H833" i="1"/>
  <c r="S833" i="1"/>
  <c r="Y831" i="1"/>
  <c r="Z831" i="1" s="1"/>
  <c r="E847" i="1"/>
  <c r="U847" i="1"/>
  <c r="AA847" i="1"/>
  <c r="Z842" i="1"/>
  <c r="X847" i="1"/>
  <c r="AB847" i="1"/>
  <c r="F856" i="1"/>
  <c r="K856" i="1"/>
  <c r="I856" i="1"/>
  <c r="AO881" i="1"/>
  <c r="F871" i="1"/>
  <c r="D881" i="1"/>
  <c r="Y881" i="1"/>
  <c r="L881" i="1"/>
  <c r="Z879" i="1"/>
  <c r="I894" i="1"/>
  <c r="AH976" i="1"/>
  <c r="AI976" i="1" s="1"/>
  <c r="AL976" i="1"/>
  <c r="E905" i="1"/>
  <c r="J905" i="1"/>
  <c r="AB905" i="1"/>
  <c r="AL975" i="1"/>
  <c r="X905" i="1"/>
  <c r="I905" i="1"/>
  <c r="AI981" i="1"/>
  <c r="AK981" i="1" s="1"/>
  <c r="AO981" i="1"/>
  <c r="H915" i="1"/>
  <c r="U915" i="1"/>
  <c r="AF975" i="1"/>
  <c r="AJ975" i="1"/>
  <c r="AM975" i="1"/>
  <c r="AB935" i="1"/>
  <c r="P947" i="1"/>
  <c r="T947" i="1"/>
  <c r="X947" i="1"/>
  <c r="V955" i="1"/>
  <c r="E955" i="1"/>
  <c r="J955" i="1"/>
  <c r="E967" i="1"/>
  <c r="J967" i="1"/>
  <c r="N967" i="1"/>
  <c r="V967" i="1"/>
  <c r="F967" i="1"/>
  <c r="K967" i="1"/>
  <c r="AL978" i="1"/>
  <c r="AN978" i="1" s="1"/>
  <c r="O975" i="1"/>
  <c r="T975" i="1"/>
  <c r="X975" i="1"/>
  <c r="O981" i="1"/>
  <c r="T981" i="1"/>
  <c r="X981" i="1"/>
  <c r="Z992" i="1"/>
  <c r="L1003" i="1"/>
  <c r="AH1092" i="1"/>
  <c r="K1003" i="1"/>
  <c r="AA1011" i="1"/>
  <c r="N1023" i="1"/>
  <c r="Z1028" i="1"/>
  <c r="H1034" i="1"/>
  <c r="T1044" i="1"/>
  <c r="X1044" i="1"/>
  <c r="I1052" i="1"/>
  <c r="AB1052" i="1"/>
  <c r="AA1052" i="1"/>
  <c r="N1069" i="1"/>
  <c r="Z1075" i="1"/>
  <c r="T1089" i="1"/>
  <c r="X1089" i="1"/>
  <c r="I1116" i="1"/>
  <c r="AO1153" i="1"/>
  <c r="AB1116" i="1"/>
  <c r="K1116" i="1"/>
  <c r="Z1110" i="1"/>
  <c r="AG1155" i="1"/>
  <c r="T1124" i="1"/>
  <c r="I1149" i="1"/>
  <c r="J1158" i="1"/>
  <c r="S1158" i="1"/>
  <c r="AN1158" i="1"/>
  <c r="AP1158" i="1" s="1"/>
  <c r="Z1155" i="1"/>
  <c r="F1175" i="1"/>
  <c r="Z1169" i="1"/>
  <c r="K1199" i="1"/>
  <c r="O1199" i="1"/>
  <c r="AH1241" i="1"/>
  <c r="Z1195" i="1"/>
  <c r="AO1245" i="1"/>
  <c r="AJ1263" i="1"/>
  <c r="Z1197" i="1"/>
  <c r="AA1208" i="1"/>
  <c r="L1237" i="1"/>
  <c r="AA1237" i="1"/>
  <c r="AB1237" i="1"/>
  <c r="V1237" i="1"/>
  <c r="E1248" i="1"/>
  <c r="V1248" i="1"/>
  <c r="AO1263" i="1"/>
  <c r="AM1347" i="1"/>
  <c r="D1323" i="1"/>
  <c r="L1323" i="1"/>
  <c r="P1323" i="1"/>
  <c r="U1323" i="1"/>
  <c r="J1342" i="1"/>
  <c r="V1342" i="1"/>
  <c r="AB1342" i="1"/>
  <c r="Z1346" i="1"/>
  <c r="AF1409" i="1"/>
  <c r="AO1409" i="1"/>
  <c r="J1401" i="1"/>
  <c r="N1401" i="1"/>
  <c r="Y1401" i="1"/>
  <c r="AI1410" i="1"/>
  <c r="AK1410" i="1" s="1"/>
  <c r="J1432" i="1"/>
  <c r="N1432" i="1"/>
  <c r="V1432" i="1"/>
  <c r="K1432" i="1"/>
  <c r="Z1429" i="1"/>
  <c r="Z1460" i="1"/>
  <c r="AG1503" i="1"/>
  <c r="I1574" i="1"/>
  <c r="U1574" i="1"/>
  <c r="V1574" i="1"/>
  <c r="AA1574" i="1"/>
  <c r="E1034" i="1"/>
  <c r="I1034" i="1"/>
  <c r="AB1034" i="1"/>
  <c r="K1034" i="1"/>
  <c r="Z1030" i="1"/>
  <c r="V1034" i="1"/>
  <c r="V1044" i="1"/>
  <c r="AB1044" i="1"/>
  <c r="I1044" i="1"/>
  <c r="E1044" i="1"/>
  <c r="K1052" i="1"/>
  <c r="O1052" i="1"/>
  <c r="X1052" i="1"/>
  <c r="I1061" i="1"/>
  <c r="Z1065" i="1"/>
  <c r="Z1079" i="1"/>
  <c r="D1089" i="1"/>
  <c r="I1089" i="1"/>
  <c r="V1089" i="1"/>
  <c r="AA1089" i="1"/>
  <c r="Z1085" i="1"/>
  <c r="O1089" i="1"/>
  <c r="V1099" i="1"/>
  <c r="Z1095" i="1"/>
  <c r="L1116" i="1"/>
  <c r="U1116" i="1"/>
  <c r="AH1154" i="1"/>
  <c r="Z1111" i="1"/>
  <c r="AG1156" i="1"/>
  <c r="AI1156" i="1" s="1"/>
  <c r="L1124" i="1"/>
  <c r="P1124" i="1"/>
  <c r="O1136" i="1"/>
  <c r="T1136" i="1"/>
  <c r="X1136" i="1"/>
  <c r="H1149" i="1"/>
  <c r="L1149" i="1"/>
  <c r="P1149" i="1"/>
  <c r="U1149" i="1"/>
  <c r="Z1143" i="1"/>
  <c r="Z1145" i="1"/>
  <c r="AB1158" i="1"/>
  <c r="AM1157" i="1"/>
  <c r="D1158" i="1"/>
  <c r="AJ1241" i="1"/>
  <c r="AM1241" i="1"/>
  <c r="E1186" i="1"/>
  <c r="F1186" i="1"/>
  <c r="AN1247" i="1"/>
  <c r="AP1247" i="1" s="1"/>
  <c r="X1199" i="1"/>
  <c r="AG1263" i="1"/>
  <c r="AI1263" i="1" s="1"/>
  <c r="E1208" i="1"/>
  <c r="I1208" i="1"/>
  <c r="U1208" i="1"/>
  <c r="Y1206" i="1"/>
  <c r="Y1208" i="1" s="1"/>
  <c r="Z1217" i="1"/>
  <c r="Y1221" i="1"/>
  <c r="Z1221" i="1" s="1"/>
  <c r="Z1222" i="1"/>
  <c r="F1237" i="1"/>
  <c r="J1237" i="1"/>
  <c r="S1237" i="1"/>
  <c r="Z1229" i="1"/>
  <c r="I1248" i="1"/>
  <c r="AA1248" i="1"/>
  <c r="AN1268" i="1"/>
  <c r="AP1268" i="1" s="1"/>
  <c r="E1268" i="1"/>
  <c r="I1268" i="1"/>
  <c r="AA1268" i="1"/>
  <c r="Z1262" i="1"/>
  <c r="Z1264" i="1"/>
  <c r="Z1266" i="1"/>
  <c r="E1286" i="1"/>
  <c r="I1286" i="1"/>
  <c r="T1286" i="1"/>
  <c r="X1286" i="1"/>
  <c r="AB1303" i="1"/>
  <c r="Z1293" i="1"/>
  <c r="J1303" i="1"/>
  <c r="L1315" i="1"/>
  <c r="P1315" i="1"/>
  <c r="J1315" i="1"/>
  <c r="R1315" i="1"/>
  <c r="R1353" i="1" s="1"/>
  <c r="R1618" i="1" s="1"/>
  <c r="J1323" i="1"/>
  <c r="Z1318" i="1"/>
  <c r="F1342" i="1"/>
  <c r="AA1342" i="1"/>
  <c r="AM1340" i="1"/>
  <c r="AF1350" i="1"/>
  <c r="AH1351" i="1"/>
  <c r="AL1351" i="1"/>
  <c r="V1351" i="1"/>
  <c r="AH1350" i="1"/>
  <c r="AI1350" i="1" s="1"/>
  <c r="Z1349" i="1"/>
  <c r="X1367" i="1"/>
  <c r="H1367" i="1"/>
  <c r="AJ1409" i="1"/>
  <c r="Z1373" i="1"/>
  <c r="L1390" i="1"/>
  <c r="P1390" i="1"/>
  <c r="U1390" i="1"/>
  <c r="Y1390" i="1"/>
  <c r="I1401" i="1"/>
  <c r="U1401" i="1"/>
  <c r="AN1412" i="1"/>
  <c r="AP1412" i="1" s="1"/>
  <c r="AH1403" i="1"/>
  <c r="AH1414" i="1" s="1"/>
  <c r="I1413" i="1"/>
  <c r="M1413" i="1"/>
  <c r="Q1413" i="1"/>
  <c r="AB1413" i="1"/>
  <c r="AN1413" i="1"/>
  <c r="AP1413" i="1" s="1"/>
  <c r="AS1412" i="1" s="1"/>
  <c r="E1432" i="1"/>
  <c r="I1432" i="1"/>
  <c r="U1432" i="1"/>
  <c r="AG1447" i="1"/>
  <c r="AO1447" i="1"/>
  <c r="Z1428" i="1"/>
  <c r="Z1436" i="1"/>
  <c r="AH1443" i="1"/>
  <c r="K1451" i="1"/>
  <c r="O1451" i="1"/>
  <c r="AG1445" i="1"/>
  <c r="Z1447" i="1"/>
  <c r="K1469" i="1"/>
  <c r="O1469" i="1"/>
  <c r="AJ1501" i="1"/>
  <c r="AH1493" i="1"/>
  <c r="Z1464" i="1"/>
  <c r="AF1501" i="1"/>
  <c r="N1479" i="1"/>
  <c r="V1479" i="1"/>
  <c r="AB1479" i="1"/>
  <c r="U1479" i="1"/>
  <c r="AJ1493" i="1"/>
  <c r="AM1493" i="1"/>
  <c r="AF1504" i="1"/>
  <c r="AO1504" i="1"/>
  <c r="I1505" i="1"/>
  <c r="U1505" i="1"/>
  <c r="Z1496" i="1"/>
  <c r="AH1501" i="1"/>
  <c r="AI1501" i="1" s="1"/>
  <c r="AF1502" i="1"/>
  <c r="Z1537" i="1"/>
  <c r="Y1538" i="1"/>
  <c r="Z1538" i="1" s="1"/>
  <c r="Z1539" i="1"/>
  <c r="Z1541" i="1"/>
  <c r="AB1545" i="1"/>
  <c r="Z1547" i="1"/>
  <c r="Y1552" i="1"/>
  <c r="Z1552" i="1" s="1"/>
  <c r="AB1552" i="1"/>
  <c r="Y1553" i="1"/>
  <c r="AB1560" i="1"/>
  <c r="AB1567" i="1"/>
  <c r="Z1572" i="1"/>
  <c r="AA981" i="1"/>
  <c r="Z1009" i="1"/>
  <c r="J1023" i="1"/>
  <c r="Z1016" i="1"/>
  <c r="AO1097" i="1"/>
  <c r="D1034" i="1"/>
  <c r="AA1034" i="1"/>
  <c r="L1034" i="1"/>
  <c r="AA1044" i="1"/>
  <c r="Z1040" i="1"/>
  <c r="J1052" i="1"/>
  <c r="S1052" i="1"/>
  <c r="L1061" i="1"/>
  <c r="P1061" i="1"/>
  <c r="Z1055" i="1"/>
  <c r="E1069" i="1"/>
  <c r="I1069" i="1"/>
  <c r="V1069" i="1"/>
  <c r="AB1069" i="1"/>
  <c r="T1069" i="1"/>
  <c r="X1069" i="1"/>
  <c r="AN1098" i="1"/>
  <c r="AP1098" i="1" s="1"/>
  <c r="L1081" i="1"/>
  <c r="U1081" i="1"/>
  <c r="D1081" i="1"/>
  <c r="Z1074" i="1"/>
  <c r="L1089" i="1"/>
  <c r="P1089" i="1"/>
  <c r="U1089" i="1"/>
  <c r="H1099" i="1"/>
  <c r="L1099" i="1"/>
  <c r="U1099" i="1"/>
  <c r="AA1099" i="1"/>
  <c r="E1099" i="1"/>
  <c r="I1099" i="1"/>
  <c r="Z1096" i="1"/>
  <c r="O1116" i="1"/>
  <c r="T1116" i="1"/>
  <c r="X1116" i="1"/>
  <c r="AN1152" i="1"/>
  <c r="AP1152" i="1" s="1"/>
  <c r="K1124" i="1"/>
  <c r="D1124" i="1"/>
  <c r="Z1120" i="1"/>
  <c r="AF1157" i="1"/>
  <c r="AO1157" i="1"/>
  <c r="F1136" i="1"/>
  <c r="K1149" i="1"/>
  <c r="T1149" i="1"/>
  <c r="AB1149" i="1"/>
  <c r="I1158" i="1"/>
  <c r="U1158" i="1"/>
  <c r="Z1153" i="1"/>
  <c r="AA1158" i="1"/>
  <c r="AI1158" i="1"/>
  <c r="AK1158" i="1" s="1"/>
  <c r="Z1154" i="1"/>
  <c r="AH1157" i="1"/>
  <c r="AL1157" i="1"/>
  <c r="AJ1159" i="1"/>
  <c r="AM1159" i="1"/>
  <c r="AB1175" i="1"/>
  <c r="S1175" i="1"/>
  <c r="K1175" i="1"/>
  <c r="AL1246" i="1"/>
  <c r="AN1246" i="1" s="1"/>
  <c r="Y1177" i="1"/>
  <c r="Z1177" i="1" s="1"/>
  <c r="I1199" i="1"/>
  <c r="AA1199" i="1"/>
  <c r="H1208" i="1"/>
  <c r="T1208" i="1"/>
  <c r="X1208" i="1"/>
  <c r="K1208" i="1"/>
  <c r="AL1248" i="1"/>
  <c r="AN1248" i="1" s="1"/>
  <c r="AP1248" i="1" s="1"/>
  <c r="Z1211" i="1"/>
  <c r="AM1239" i="1"/>
  <c r="Z1214" i="1"/>
  <c r="Z1218" i="1"/>
  <c r="E1237" i="1"/>
  <c r="I1237" i="1"/>
  <c r="Y1241" i="1"/>
  <c r="Y1248" i="1" s="1"/>
  <c r="L1248" i="1"/>
  <c r="P1248" i="1"/>
  <c r="Z1242" i="1"/>
  <c r="Z1244" i="1"/>
  <c r="X1268" i="1"/>
  <c r="AG1239" i="1"/>
  <c r="AO1239" i="1"/>
  <c r="D1286" i="1"/>
  <c r="U1286" i="1"/>
  <c r="N1286" i="1"/>
  <c r="AA1286" i="1"/>
  <c r="AM1348" i="1"/>
  <c r="AA1303" i="1"/>
  <c r="AJ1343" i="1"/>
  <c r="P1303" i="1"/>
  <c r="U1303" i="1"/>
  <c r="Z1296" i="1"/>
  <c r="AO1347" i="1"/>
  <c r="AP1349" i="1"/>
  <c r="AG1348" i="1"/>
  <c r="AI1348" i="1" s="1"/>
  <c r="AO1340" i="1"/>
  <c r="H1315" i="1"/>
  <c r="AH1339" i="1"/>
  <c r="Z1321" i="1"/>
  <c r="I1342" i="1"/>
  <c r="AJ1350" i="1"/>
  <c r="AM1350" i="1"/>
  <c r="T1342" i="1"/>
  <c r="I1351" i="1"/>
  <c r="U1351" i="1"/>
  <c r="AA1351" i="1"/>
  <c r="AH1340" i="1"/>
  <c r="N1351" i="1"/>
  <c r="D1351" i="1"/>
  <c r="AB1367" i="1"/>
  <c r="N1367" i="1"/>
  <c r="K1378" i="1"/>
  <c r="O1378" i="1"/>
  <c r="L1378" i="1"/>
  <c r="Z1374" i="1"/>
  <c r="F1384" i="1"/>
  <c r="P1401" i="1"/>
  <c r="T1401" i="1"/>
  <c r="L1401" i="1"/>
  <c r="Z1409" i="1"/>
  <c r="L1413" i="1"/>
  <c r="P1413" i="1"/>
  <c r="AL1409" i="1"/>
  <c r="AN1409" i="1" s="1"/>
  <c r="AF1445" i="1"/>
  <c r="AJ1445" i="1"/>
  <c r="T1432" i="1"/>
  <c r="H1432" i="1"/>
  <c r="AF1443" i="1"/>
  <c r="AJ1443" i="1"/>
  <c r="AM1443" i="1"/>
  <c r="X1432" i="1"/>
  <c r="V1442" i="1"/>
  <c r="AH1497" i="1"/>
  <c r="X1469" i="1"/>
  <c r="J1479" i="1"/>
  <c r="Z1477" i="1"/>
  <c r="S1491" i="1"/>
  <c r="K1491" i="1"/>
  <c r="O1491" i="1"/>
  <c r="T1491" i="1"/>
  <c r="AL1493" i="1"/>
  <c r="AN1493" i="1" s="1"/>
  <c r="AN1506" i="1"/>
  <c r="AP1506" i="1" s="1"/>
  <c r="AB1537" i="1"/>
  <c r="Z1540" i="1"/>
  <c r="AB1565" i="1"/>
  <c r="AB1570" i="1"/>
  <c r="AL94" i="1"/>
  <c r="AK92" i="1"/>
  <c r="AI90" i="1"/>
  <c r="AK160" i="1"/>
  <c r="AK431" i="1"/>
  <c r="AS430" i="1" s="1"/>
  <c r="Y311" i="1"/>
  <c r="AK147" i="1"/>
  <c r="AK257" i="1"/>
  <c r="AS256" i="1" s="1"/>
  <c r="AQ257" i="1"/>
  <c r="AR257" i="1" s="1"/>
  <c r="Y414" i="1"/>
  <c r="Z404" i="1"/>
  <c r="AP81" i="1"/>
  <c r="Y128" i="1"/>
  <c r="N162" i="1"/>
  <c r="N1598" i="1" s="1"/>
  <c r="AI252" i="1"/>
  <c r="D245" i="1"/>
  <c r="Z236" i="1"/>
  <c r="AL436" i="1"/>
  <c r="O287" i="1"/>
  <c r="R297" i="1"/>
  <c r="Y290" i="1"/>
  <c r="AH436" i="1"/>
  <c r="F326" i="1"/>
  <c r="AF612" i="1"/>
  <c r="Z520" i="1"/>
  <c r="AF743" i="1"/>
  <c r="Z625" i="1"/>
  <c r="AF727" i="1"/>
  <c r="Z897" i="1"/>
  <c r="Y905" i="1"/>
  <c r="D47" i="1"/>
  <c r="AO141" i="1"/>
  <c r="V108" i="1"/>
  <c r="L119" i="1"/>
  <c r="AJ159" i="1" s="1"/>
  <c r="AK159" i="1" s="1"/>
  <c r="AJ141" i="1"/>
  <c r="AJ161" i="1" s="1"/>
  <c r="AH437" i="1"/>
  <c r="F287" i="1"/>
  <c r="Y418" i="1"/>
  <c r="R423" i="1"/>
  <c r="AI451" i="1"/>
  <c r="AO602" i="1"/>
  <c r="V549" i="1"/>
  <c r="AR726" i="1"/>
  <c r="Z700" i="1"/>
  <c r="AF748" i="1"/>
  <c r="E784" i="1"/>
  <c r="AG867" i="1"/>
  <c r="AG1245" i="1"/>
  <c r="E1199" i="1"/>
  <c r="AM253" i="1"/>
  <c r="P181" i="1"/>
  <c r="Y329" i="1"/>
  <c r="R339" i="1"/>
  <c r="Z412" i="1"/>
  <c r="AF445" i="1"/>
  <c r="AO601" i="1"/>
  <c r="V472" i="1"/>
  <c r="AQ597" i="1"/>
  <c r="AR597" i="1" s="1"/>
  <c r="AR605" i="1"/>
  <c r="V614" i="1"/>
  <c r="AO596" i="1"/>
  <c r="R738" i="1"/>
  <c r="Y727" i="1"/>
  <c r="AG872" i="1"/>
  <c r="AI872" i="1" s="1"/>
  <c r="E881" i="1"/>
  <c r="D947" i="1"/>
  <c r="H947" i="1"/>
  <c r="Y938" i="1"/>
  <c r="Y947" i="1" s="1"/>
  <c r="Y1056" i="1"/>
  <c r="Z1056" i="1" s="1"/>
  <c r="H1061" i="1"/>
  <c r="Y1210" i="1"/>
  <c r="R1224" i="1"/>
  <c r="Z1220" i="1"/>
  <c r="AF1263" i="1"/>
  <c r="AI80" i="1"/>
  <c r="Z117" i="1"/>
  <c r="Y184" i="1"/>
  <c r="Y201" i="1" s="1"/>
  <c r="F218" i="1"/>
  <c r="Y250" i="1"/>
  <c r="Y254" i="1" s="1"/>
  <c r="H287" i="1"/>
  <c r="O297" i="1"/>
  <c r="Z305" i="1"/>
  <c r="H311" i="1"/>
  <c r="Z319" i="1"/>
  <c r="D361" i="1"/>
  <c r="Z377" i="1"/>
  <c r="P440" i="1"/>
  <c r="Y516" i="1"/>
  <c r="Y525" i="1" s="1"/>
  <c r="Y546" i="1"/>
  <c r="Z546" i="1" s="1"/>
  <c r="Z720" i="1"/>
  <c r="Z875" i="1"/>
  <c r="X17" i="1"/>
  <c r="AO85" i="1"/>
  <c r="Z32" i="1"/>
  <c r="Z42" i="1"/>
  <c r="T55" i="1"/>
  <c r="X55" i="1"/>
  <c r="E80" i="1"/>
  <c r="Y59" i="1"/>
  <c r="Z59" i="1" s="1"/>
  <c r="Z68" i="1"/>
  <c r="Z83" i="1"/>
  <c r="Z92" i="1" s="1"/>
  <c r="L92" i="1"/>
  <c r="AF83" i="1"/>
  <c r="H119" i="1"/>
  <c r="Y111" i="1"/>
  <c r="Z114" i="1"/>
  <c r="D119" i="1"/>
  <c r="H128" i="1"/>
  <c r="F142" i="1"/>
  <c r="AL141" i="1"/>
  <c r="AN141" i="1" s="1"/>
  <c r="V181" i="1"/>
  <c r="Z169" i="1"/>
  <c r="Z176" i="1"/>
  <c r="O201" i="1"/>
  <c r="S218" i="1"/>
  <c r="AH263" i="1"/>
  <c r="Z241" i="1"/>
  <c r="AN252" i="1"/>
  <c r="Z259" i="1"/>
  <c r="AA259" i="1" s="1"/>
  <c r="AO436" i="1"/>
  <c r="AO437" i="1"/>
  <c r="Y274" i="1"/>
  <c r="Z274" i="1" s="1"/>
  <c r="Z277" i="1"/>
  <c r="Z282" i="1"/>
  <c r="AF444" i="1"/>
  <c r="AI449" i="1"/>
  <c r="AJ443" i="1"/>
  <c r="E326" i="1"/>
  <c r="Z316" i="1"/>
  <c r="Z345" i="1"/>
  <c r="U361" i="1"/>
  <c r="T380" i="1"/>
  <c r="D380" i="1"/>
  <c r="V423" i="1"/>
  <c r="AA451" i="1"/>
  <c r="AF599" i="1"/>
  <c r="AM599" i="1"/>
  <c r="AN600" i="1"/>
  <c r="AP600" i="1" s="1"/>
  <c r="Z464" i="1"/>
  <c r="Z466" i="1"/>
  <c r="F499" i="1"/>
  <c r="N499" i="1"/>
  <c r="Z510" i="1"/>
  <c r="Z517" i="1"/>
  <c r="AA561" i="1"/>
  <c r="AO598" i="1"/>
  <c r="AN743" i="1"/>
  <c r="AP743" i="1" s="1"/>
  <c r="Z640" i="1"/>
  <c r="Z758" i="1"/>
  <c r="U1011" i="1"/>
  <c r="D1011" i="1"/>
  <c r="Y1047" i="1"/>
  <c r="N17" i="1"/>
  <c r="S17" i="1"/>
  <c r="AJ87" i="1"/>
  <c r="E17" i="1"/>
  <c r="O17" i="1"/>
  <c r="D1517" i="1"/>
  <c r="Z20" i="1"/>
  <c r="AB47" i="1"/>
  <c r="Z33" i="1"/>
  <c r="AL89" i="1"/>
  <c r="E55" i="1"/>
  <c r="J55" i="1"/>
  <c r="N55" i="1"/>
  <c r="S55" i="1"/>
  <c r="P80" i="1"/>
  <c r="T80" i="1"/>
  <c r="Z74" i="1"/>
  <c r="AI81" i="1"/>
  <c r="K92" i="1"/>
  <c r="AI88" i="1"/>
  <c r="D92" i="1"/>
  <c r="Z102" i="1"/>
  <c r="F108" i="1"/>
  <c r="Z122" i="1"/>
  <c r="P128" i="1"/>
  <c r="U128" i="1"/>
  <c r="D128" i="1"/>
  <c r="U142" i="1"/>
  <c r="K160" i="1"/>
  <c r="AA160" i="1"/>
  <c r="AN147" i="1"/>
  <c r="AP147" i="1" s="1"/>
  <c r="Z148" i="1"/>
  <c r="AI158" i="1"/>
  <c r="H181" i="1"/>
  <c r="L181" i="1"/>
  <c r="U181" i="1"/>
  <c r="Y167" i="1"/>
  <c r="AG255" i="1"/>
  <c r="AO255" i="1"/>
  <c r="E181" i="1"/>
  <c r="F201" i="1"/>
  <c r="J201" i="1"/>
  <c r="Z194" i="1"/>
  <c r="J218" i="1"/>
  <c r="N218" i="1"/>
  <c r="AF256" i="1"/>
  <c r="Z211" i="1"/>
  <c r="S245" i="1"/>
  <c r="AB245" i="1"/>
  <c r="D254" i="1"/>
  <c r="I254" i="1"/>
  <c r="Z248" i="1"/>
  <c r="AH250" i="1"/>
  <c r="AJ250" i="1"/>
  <c r="L263" i="1"/>
  <c r="P263" i="1"/>
  <c r="U263" i="1"/>
  <c r="Y257" i="1"/>
  <c r="Y263" i="1" s="1"/>
  <c r="V263" i="1"/>
  <c r="AA258" i="1"/>
  <c r="AG436" i="1"/>
  <c r="U287" i="1"/>
  <c r="AG437" i="1"/>
  <c r="Z272" i="1"/>
  <c r="AM429" i="1"/>
  <c r="AL439" i="1"/>
  <c r="AN439" i="1" s="1"/>
  <c r="V287" i="1"/>
  <c r="P297" i="1"/>
  <c r="H297" i="1"/>
  <c r="L297" i="1"/>
  <c r="AF449" i="1"/>
  <c r="AJ449" i="1"/>
  <c r="AM449" i="1"/>
  <c r="AN449" i="1" s="1"/>
  <c r="Z300" i="1"/>
  <c r="P311" i="1"/>
  <c r="U311" i="1"/>
  <c r="Z307" i="1"/>
  <c r="R326" i="1"/>
  <c r="V339" i="1"/>
  <c r="AA339" i="1"/>
  <c r="Z332" i="1"/>
  <c r="X339" i="1"/>
  <c r="Z334" i="1"/>
  <c r="N350" i="1"/>
  <c r="S350" i="1"/>
  <c r="AA350" i="1"/>
  <c r="Z346" i="1"/>
  <c r="L361" i="1"/>
  <c r="P361" i="1"/>
  <c r="K380" i="1"/>
  <c r="O380" i="1"/>
  <c r="U380" i="1"/>
  <c r="Z371" i="1"/>
  <c r="Y392" i="1"/>
  <c r="AO438" i="1"/>
  <c r="J414" i="1"/>
  <c r="N414" i="1"/>
  <c r="H414" i="1"/>
  <c r="R414" i="1"/>
  <c r="I423" i="1"/>
  <c r="J440" i="1"/>
  <c r="N440" i="1"/>
  <c r="Z434" i="1"/>
  <c r="AF436" i="1"/>
  <c r="AF437" i="1"/>
  <c r="D451" i="1"/>
  <c r="Z470" i="1"/>
  <c r="Z478" i="1"/>
  <c r="AF607" i="1"/>
  <c r="AG614" i="1"/>
  <c r="AB499" i="1"/>
  <c r="Z493" i="1"/>
  <c r="Z505" i="1"/>
  <c r="Z511" i="1"/>
  <c r="Z535" i="1"/>
  <c r="Y552" i="1"/>
  <c r="Y561" i="1" s="1"/>
  <c r="AG598" i="1"/>
  <c r="AK605" i="1"/>
  <c r="AG596" i="1"/>
  <c r="E614" i="1"/>
  <c r="AL735" i="1"/>
  <c r="P644" i="1"/>
  <c r="AO735" i="1"/>
  <c r="O656" i="1"/>
  <c r="T681" i="1"/>
  <c r="AI726" i="1"/>
  <c r="F738" i="1"/>
  <c r="J738" i="1"/>
  <c r="N738" i="1"/>
  <c r="AG735" i="1"/>
  <c r="AA798" i="1"/>
  <c r="AN876" i="1"/>
  <c r="AP876" i="1" s="1"/>
  <c r="Z993" i="1"/>
  <c r="Y1007" i="1"/>
  <c r="Z1007" i="1" s="1"/>
  <c r="F1224" i="1"/>
  <c r="AF438" i="1"/>
  <c r="AF451" i="1"/>
  <c r="Z378" i="1"/>
  <c r="AF598" i="1"/>
  <c r="Y458" i="1"/>
  <c r="Y472" i="1" s="1"/>
  <c r="H472" i="1"/>
  <c r="AJ598" i="1"/>
  <c r="L472" i="1"/>
  <c r="AM598" i="1"/>
  <c r="P472" i="1"/>
  <c r="H540" i="1"/>
  <c r="Y529" i="1"/>
  <c r="AL745" i="1"/>
  <c r="AN745" i="1" s="1"/>
  <c r="AP745" i="1" s="1"/>
  <c r="O681" i="1"/>
  <c r="AF980" i="1"/>
  <c r="Z902" i="1"/>
  <c r="D905" i="1"/>
  <c r="AK971" i="1"/>
  <c r="AF443" i="1"/>
  <c r="Z306" i="1"/>
  <c r="Y445" i="1"/>
  <c r="Z445" i="1" s="1"/>
  <c r="R451" i="1"/>
  <c r="R484" i="1"/>
  <c r="Y475" i="1"/>
  <c r="Z502" i="1"/>
  <c r="R540" i="1"/>
  <c r="Y537" i="1"/>
  <c r="Z537" i="1" s="1"/>
  <c r="R715" i="1"/>
  <c r="Y708" i="1"/>
  <c r="Z708" i="1" s="1"/>
  <c r="V784" i="1"/>
  <c r="AO867" i="1"/>
  <c r="R917" i="1"/>
  <c r="Y917" i="1" s="1"/>
  <c r="Z917" i="1" s="1"/>
  <c r="D1052" i="1"/>
  <c r="AF91" i="1"/>
  <c r="Z75" i="1"/>
  <c r="Y104" i="1"/>
  <c r="Z104" i="1" s="1"/>
  <c r="R108" i="1"/>
  <c r="Z487" i="1"/>
  <c r="D549" i="1"/>
  <c r="Z635" i="1"/>
  <c r="AF736" i="1"/>
  <c r="D644" i="1"/>
  <c r="AI860" i="1"/>
  <c r="AO860" i="1"/>
  <c r="V871" i="1"/>
  <c r="D924" i="1"/>
  <c r="AL1092" i="1"/>
  <c r="O1003" i="1"/>
  <c r="Z76" i="1"/>
  <c r="D80" i="1"/>
  <c r="AN157" i="1"/>
  <c r="AP157" i="1" s="1"/>
  <c r="Y160" i="1"/>
  <c r="Y245" i="1"/>
  <c r="F245" i="1"/>
  <c r="AF250" i="1"/>
  <c r="E297" i="1"/>
  <c r="Y357" i="1"/>
  <c r="Y372" i="1"/>
  <c r="Y380" i="1" s="1"/>
  <c r="Z432" i="1"/>
  <c r="AI435" i="1"/>
  <c r="D525" i="1"/>
  <c r="D561" i="1"/>
  <c r="L629" i="1"/>
  <c r="Y639" i="1"/>
  <c r="Z639" i="1" s="1"/>
  <c r="L644" i="1"/>
  <c r="Z814" i="1"/>
  <c r="AN868" i="1"/>
  <c r="Z919" i="1"/>
  <c r="P924" i="1"/>
  <c r="AG85" i="1"/>
  <c r="AH86" i="1"/>
  <c r="AM87" i="1"/>
  <c r="F17" i="1"/>
  <c r="P17" i="1"/>
  <c r="AM90" i="1" s="1"/>
  <c r="AN90" i="1" s="1"/>
  <c r="X47" i="1"/>
  <c r="O55" i="1"/>
  <c r="Y58" i="1"/>
  <c r="Z60" i="1"/>
  <c r="Z77" i="1"/>
  <c r="H92" i="1"/>
  <c r="P92" i="1"/>
  <c r="P95" i="1" s="1"/>
  <c r="AN88" i="1"/>
  <c r="AG142" i="1"/>
  <c r="AI142" i="1" s="1"/>
  <c r="AO142" i="1"/>
  <c r="AH140" i="1"/>
  <c r="P119" i="1"/>
  <c r="AH153" i="1"/>
  <c r="AI153" i="1" s="1"/>
  <c r="H160" i="1"/>
  <c r="Z151" i="1"/>
  <c r="AN159" i="1"/>
  <c r="AP159" i="1" s="1"/>
  <c r="Z174" i="1"/>
  <c r="K201" i="1"/>
  <c r="T201" i="1"/>
  <c r="Z186" i="1"/>
  <c r="Z193" i="1"/>
  <c r="D201" i="1"/>
  <c r="O218" i="1"/>
  <c r="Z210" i="1"/>
  <c r="AL263" i="1"/>
  <c r="AN263" i="1" s="1"/>
  <c r="AP263" i="1" s="1"/>
  <c r="Y225" i="1"/>
  <c r="AF253" i="1"/>
  <c r="J287" i="1"/>
  <c r="Z275" i="1"/>
  <c r="Z279" i="1"/>
  <c r="D287" i="1"/>
  <c r="U297" i="1"/>
  <c r="AJ444" i="1"/>
  <c r="AL442" i="1"/>
  <c r="AN442" i="1" s="1"/>
  <c r="AP442" i="1" s="1"/>
  <c r="D297" i="1"/>
  <c r="Z303" i="1"/>
  <c r="P380" i="1"/>
  <c r="AN451" i="1"/>
  <c r="AP451" i="1" s="1"/>
  <c r="Z409" i="1"/>
  <c r="AA423" i="1"/>
  <c r="Z433" i="1"/>
  <c r="AL435" i="1"/>
  <c r="AL598" i="1"/>
  <c r="J499" i="1"/>
  <c r="S499" i="1"/>
  <c r="P513" i="1"/>
  <c r="U513" i="1"/>
  <c r="Z532" i="1"/>
  <c r="AF602" i="1"/>
  <c r="H629" i="1"/>
  <c r="Z626" i="1"/>
  <c r="X703" i="1"/>
  <c r="AF868" i="1"/>
  <c r="AJ868" i="1"/>
  <c r="F798" i="1"/>
  <c r="I1011" i="1"/>
  <c r="AG82" i="1"/>
  <c r="I17" i="1"/>
  <c r="AO82" i="1"/>
  <c r="AB17" i="1"/>
  <c r="P1517" i="1"/>
  <c r="T1517" i="1"/>
  <c r="X1517" i="1"/>
  <c r="Y25" i="1"/>
  <c r="V47" i="1"/>
  <c r="Z34" i="1"/>
  <c r="I55" i="1"/>
  <c r="Z50" i="1"/>
  <c r="K80" i="1"/>
  <c r="O80" i="1"/>
  <c r="Z61" i="1"/>
  <c r="F92" i="1"/>
  <c r="R92" i="1"/>
  <c r="V92" i="1"/>
  <c r="AA92" i="1"/>
  <c r="AI91" i="1"/>
  <c r="AF92" i="1"/>
  <c r="E108" i="1"/>
  <c r="E162" i="1" s="1"/>
  <c r="E1598" i="1" s="1"/>
  <c r="Z115" i="1"/>
  <c r="K128" i="1"/>
  <c r="O128" i="1"/>
  <c r="T128" i="1"/>
  <c r="T162" i="1" s="1"/>
  <c r="T1598" i="1" s="1"/>
  <c r="H142" i="1"/>
  <c r="AH141" i="1"/>
  <c r="F160" i="1"/>
  <c r="V160" i="1"/>
  <c r="AS145" i="1"/>
  <c r="Z149" i="1"/>
  <c r="K181" i="1"/>
  <c r="AL253" i="1"/>
  <c r="AN253" i="1" s="1"/>
  <c r="AP253" i="1" s="1"/>
  <c r="Z170" i="1"/>
  <c r="Z175" i="1"/>
  <c r="Y177" i="1"/>
  <c r="Z177" i="1" s="1"/>
  <c r="AJ256" i="1"/>
  <c r="AK256" i="1" s="1"/>
  <c r="AM256" i="1"/>
  <c r="D181" i="1"/>
  <c r="E201" i="1"/>
  <c r="Z195" i="1"/>
  <c r="E218" i="1"/>
  <c r="I218" i="1"/>
  <c r="AM250" i="1"/>
  <c r="Z212" i="1"/>
  <c r="Y230" i="1"/>
  <c r="Z230" i="1" s="1"/>
  <c r="D233" i="1"/>
  <c r="E245" i="1"/>
  <c r="J245" i="1"/>
  <c r="N245" i="1"/>
  <c r="H245" i="1"/>
  <c r="R245" i="1"/>
  <c r="AJ253" i="1"/>
  <c r="AA261" i="1"/>
  <c r="T287" i="1"/>
  <c r="P287" i="1"/>
  <c r="AL429" i="1"/>
  <c r="AM440" i="1"/>
  <c r="AG439" i="1"/>
  <c r="K297" i="1"/>
  <c r="AH442" i="1"/>
  <c r="AO444" i="1"/>
  <c r="AF448" i="1"/>
  <c r="AJ448" i="1"/>
  <c r="AM448" i="1"/>
  <c r="K311" i="1"/>
  <c r="O311" i="1"/>
  <c r="T311" i="1"/>
  <c r="Z302" i="1"/>
  <c r="Z318" i="1"/>
  <c r="Z324" i="1"/>
  <c r="D326" i="1"/>
  <c r="I339" i="1"/>
  <c r="AB339" i="1"/>
  <c r="Z335" i="1"/>
  <c r="Z343" i="1"/>
  <c r="H350" i="1"/>
  <c r="AF430" i="1"/>
  <c r="AJ430" i="1"/>
  <c r="F380" i="1"/>
  <c r="J380" i="1"/>
  <c r="Z373" i="1"/>
  <c r="Z398" i="1"/>
  <c r="V401" i="1"/>
  <c r="E414" i="1"/>
  <c r="I414" i="1"/>
  <c r="AN445" i="1"/>
  <c r="AP445" i="1" s="1"/>
  <c r="E440" i="1"/>
  <c r="I440" i="1"/>
  <c r="Y429" i="1"/>
  <c r="AM435" i="1"/>
  <c r="AM436" i="1"/>
  <c r="J451" i="1"/>
  <c r="N451" i="1"/>
  <c r="S451" i="1"/>
  <c r="AI445" i="1"/>
  <c r="E472" i="1"/>
  <c r="U472" i="1"/>
  <c r="Z463" i="1"/>
  <c r="Z465" i="1"/>
  <c r="AP605" i="1"/>
  <c r="AL606" i="1"/>
  <c r="AN606" i="1" s="1"/>
  <c r="D472" i="1"/>
  <c r="H484" i="1"/>
  <c r="Z494" i="1"/>
  <c r="F513" i="1"/>
  <c r="J513" i="1"/>
  <c r="Z506" i="1"/>
  <c r="Z533" i="1"/>
  <c r="I549" i="1"/>
  <c r="U549" i="1"/>
  <c r="Z553" i="1"/>
  <c r="Y586" i="1"/>
  <c r="Z578" i="1"/>
  <c r="AH735" i="1"/>
  <c r="T656" i="1"/>
  <c r="Z687" i="1"/>
  <c r="O775" i="1"/>
  <c r="AN880" i="1"/>
  <c r="AP880" i="1" s="1"/>
  <c r="AH865" i="1"/>
  <c r="K915" i="1"/>
  <c r="H924" i="1"/>
  <c r="L924" i="1"/>
  <c r="U924" i="1"/>
  <c r="Y918" i="1"/>
  <c r="Y924" i="1" s="1"/>
  <c r="F1003" i="1"/>
  <c r="AG1240" i="1"/>
  <c r="D605" i="1"/>
  <c r="AF749" i="1"/>
  <c r="Z701" i="1"/>
  <c r="AF732" i="1"/>
  <c r="Z733" i="1"/>
  <c r="R856" i="1"/>
  <c r="Y854" i="1"/>
  <c r="Z854" i="1" s="1"/>
  <c r="AJ860" i="1"/>
  <c r="L871" i="1"/>
  <c r="AG977" i="1"/>
  <c r="AI977" i="1" s="1"/>
  <c r="E915" i="1"/>
  <c r="L1442" i="1"/>
  <c r="AJ1452" i="1"/>
  <c r="AK1452" i="1" s="1"/>
  <c r="V1505" i="1"/>
  <c r="AO1497" i="1"/>
  <c r="AO1507" i="1" s="1"/>
  <c r="D596" i="1"/>
  <c r="D694" i="1"/>
  <c r="Z718" i="1"/>
  <c r="D724" i="1"/>
  <c r="D820" i="1"/>
  <c r="O905" i="1"/>
  <c r="AL974" i="1"/>
  <c r="AL986" i="1" s="1"/>
  <c r="D955" i="1"/>
  <c r="O1224" i="1"/>
  <c r="AL1240" i="1"/>
  <c r="F1248" i="1"/>
  <c r="AH1268" i="1"/>
  <c r="AL1343" i="1"/>
  <c r="O1303" i="1"/>
  <c r="AQ1349" i="1"/>
  <c r="AR1349" i="1" s="1"/>
  <c r="AK1349" i="1"/>
  <c r="Z1371" i="1"/>
  <c r="D1378" i="1"/>
  <c r="E451" i="1"/>
  <c r="AF606" i="1"/>
  <c r="D540" i="1"/>
  <c r="K561" i="1"/>
  <c r="T561" i="1"/>
  <c r="D575" i="1"/>
  <c r="AA575" i="1"/>
  <c r="Z572" i="1"/>
  <c r="Z581" i="1"/>
  <c r="J596" i="1"/>
  <c r="Y607" i="1"/>
  <c r="O644" i="1"/>
  <c r="AM736" i="1"/>
  <c r="AL727" i="1"/>
  <c r="X656" i="1"/>
  <c r="U703" i="1"/>
  <c r="H715" i="1"/>
  <c r="Z711" i="1"/>
  <c r="V724" i="1"/>
  <c r="V798" i="1"/>
  <c r="AB871" i="1"/>
  <c r="H871" i="1"/>
  <c r="S915" i="1"/>
  <c r="AI982" i="1"/>
  <c r="Y970" i="1"/>
  <c r="Z970" i="1" s="1"/>
  <c r="AG978" i="1"/>
  <c r="Y10" i="1"/>
  <c r="L17" i="1"/>
  <c r="AJ90" i="1" s="1"/>
  <c r="V17" i="1"/>
  <c r="AO90" i="1" s="1"/>
  <c r="R1517" i="1"/>
  <c r="V1517" i="1"/>
  <c r="AF82" i="1"/>
  <c r="AJ88" i="1"/>
  <c r="H108" i="1"/>
  <c r="F181" i="1"/>
  <c r="E287" i="1"/>
  <c r="Z396" i="1"/>
  <c r="P1577" i="1"/>
  <c r="P1630" i="1" s="1"/>
  <c r="H423" i="1"/>
  <c r="Y443" i="1"/>
  <c r="AF600" i="1"/>
  <c r="AG601" i="1"/>
  <c r="Z469" i="1"/>
  <c r="O472" i="1"/>
  <c r="AH607" i="1"/>
  <c r="AI607" i="1" s="1"/>
  <c r="AL607" i="1"/>
  <c r="AH614" i="1"/>
  <c r="AL614" i="1"/>
  <c r="AG612" i="1"/>
  <c r="AG602" i="1"/>
  <c r="N575" i="1"/>
  <c r="S575" i="1"/>
  <c r="Z569" i="1"/>
  <c r="Z580" i="1"/>
  <c r="Z582" i="1"/>
  <c r="Y589" i="1"/>
  <c r="Y596" i="1" s="1"/>
  <c r="AH598" i="1"/>
  <c r="N605" i="1"/>
  <c r="S605" i="1"/>
  <c r="AI603" i="1"/>
  <c r="AA614" i="1"/>
  <c r="K629" i="1"/>
  <c r="AI743" i="1"/>
  <c r="D629" i="1"/>
  <c r="E644" i="1"/>
  <c r="U644" i="1"/>
  <c r="AH737" i="1"/>
  <c r="N656" i="1"/>
  <c r="V656" i="1"/>
  <c r="AA656" i="1"/>
  <c r="AF739" i="1"/>
  <c r="AI747" i="1"/>
  <c r="AB681" i="1"/>
  <c r="L694" i="1"/>
  <c r="X694" i="1"/>
  <c r="Z685" i="1"/>
  <c r="Z689" i="1"/>
  <c r="K703" i="1"/>
  <c r="O703" i="1"/>
  <c r="Z699" i="1"/>
  <c r="AH749" i="1"/>
  <c r="N715" i="1"/>
  <c r="S715" i="1"/>
  <c r="AA715" i="1"/>
  <c r="Z710" i="1"/>
  <c r="Z712" i="1"/>
  <c r="H724" i="1"/>
  <c r="L724" i="1"/>
  <c r="AA724" i="1"/>
  <c r="S738" i="1"/>
  <c r="AA738" i="1"/>
  <c r="AG729" i="1"/>
  <c r="D738" i="1"/>
  <c r="E749" i="1"/>
  <c r="D775" i="1"/>
  <c r="L775" i="1"/>
  <c r="X775" i="1"/>
  <c r="AH862" i="1"/>
  <c r="T775" i="1"/>
  <c r="AI879" i="1"/>
  <c r="O798" i="1"/>
  <c r="T798" i="1"/>
  <c r="X798" i="1"/>
  <c r="Z789" i="1"/>
  <c r="L798" i="1"/>
  <c r="P798" i="1"/>
  <c r="AL865" i="1"/>
  <c r="K809" i="1"/>
  <c r="O809" i="1"/>
  <c r="H820" i="1"/>
  <c r="L820" i="1"/>
  <c r="P820" i="1"/>
  <c r="U820" i="1"/>
  <c r="Y813" i="1"/>
  <c r="AB833" i="1"/>
  <c r="T847" i="1"/>
  <c r="V856" i="1"/>
  <c r="K871" i="1"/>
  <c r="AN860" i="1"/>
  <c r="Z878" i="1"/>
  <c r="AG881" i="1"/>
  <c r="AI881" i="1" s="1"/>
  <c r="AH978" i="1"/>
  <c r="F905" i="1"/>
  <c r="K905" i="1"/>
  <c r="I935" i="1"/>
  <c r="V935" i="1"/>
  <c r="E947" i="1"/>
  <c r="I947" i="1"/>
  <c r="O955" i="1"/>
  <c r="X955" i="1"/>
  <c r="Y952" i="1"/>
  <c r="Y955" i="1" s="1"/>
  <c r="AB967" i="1"/>
  <c r="O967" i="1"/>
  <c r="AP973" i="1"/>
  <c r="Z998" i="1"/>
  <c r="P1034" i="1"/>
  <c r="AH1240" i="1"/>
  <c r="K1224" i="1"/>
  <c r="S1224" i="1"/>
  <c r="H1268" i="1"/>
  <c r="Z1295" i="1"/>
  <c r="Y1315" i="1"/>
  <c r="Z1305" i="1"/>
  <c r="Z1365" i="1"/>
  <c r="L614" i="1"/>
  <c r="AJ596" i="1"/>
  <c r="P614" i="1"/>
  <c r="AM596" i="1"/>
  <c r="AF981" i="1"/>
  <c r="Z903" i="1"/>
  <c r="D967" i="1"/>
  <c r="Z958" i="1"/>
  <c r="Z967" i="1" s="1"/>
  <c r="D975" i="1"/>
  <c r="Y1260" i="1"/>
  <c r="R1268" i="1"/>
  <c r="Z1435" i="1"/>
  <c r="Y1494" i="1"/>
  <c r="R1505" i="1"/>
  <c r="R1507" i="1" s="1"/>
  <c r="R1624" i="1" s="1"/>
  <c r="AM733" i="1"/>
  <c r="P629" i="1"/>
  <c r="AF735" i="1"/>
  <c r="Z672" i="1"/>
  <c r="Z681" i="1" s="1"/>
  <c r="D681" i="1"/>
  <c r="AM862" i="1"/>
  <c r="AN862" i="1" s="1"/>
  <c r="AP862" i="1" s="1"/>
  <c r="P775" i="1"/>
  <c r="AK876" i="1"/>
  <c r="AS875" i="1" s="1"/>
  <c r="AQ876" i="1"/>
  <c r="AR876" i="1" s="1"/>
  <c r="R820" i="1"/>
  <c r="Y818" i="1"/>
  <c r="Z818" i="1" s="1"/>
  <c r="AK880" i="1"/>
  <c r="AS879" i="1" s="1"/>
  <c r="Z860" i="1"/>
  <c r="AG974" i="1"/>
  <c r="E894" i="1"/>
  <c r="AO974" i="1"/>
  <c r="V894" i="1"/>
  <c r="Y1034" i="1"/>
  <c r="Z1027" i="1"/>
  <c r="AI1239" i="1"/>
  <c r="AO1342" i="1"/>
  <c r="V1286" i="1"/>
  <c r="AF1343" i="1"/>
  <c r="Z1294" i="1"/>
  <c r="Y1347" i="1"/>
  <c r="Z1347" i="1" s="1"/>
  <c r="H1351" i="1"/>
  <c r="AF1402" i="1"/>
  <c r="Z1364" i="1"/>
  <c r="AH599" i="1"/>
  <c r="AJ606" i="1"/>
  <c r="O561" i="1"/>
  <c r="L575" i="1"/>
  <c r="H586" i="1"/>
  <c r="Z579" i="1"/>
  <c r="Z583" i="1"/>
  <c r="N596" i="1"/>
  <c r="S596" i="1"/>
  <c r="Y599" i="1"/>
  <c r="AF596" i="1"/>
  <c r="AN612" i="1"/>
  <c r="AP612" i="1" s="1"/>
  <c r="U629" i="1"/>
  <c r="K644" i="1"/>
  <c r="L656" i="1"/>
  <c r="I681" i="1"/>
  <c r="Y707" i="1"/>
  <c r="Z707" i="1" s="1"/>
  <c r="Z709" i="1"/>
  <c r="Z721" i="1"/>
  <c r="AN729" i="1"/>
  <c r="AP729" i="1" s="1"/>
  <c r="AK745" i="1"/>
  <c r="AS744" i="1" s="1"/>
  <c r="Z759" i="1"/>
  <c r="Z778" i="1"/>
  <c r="E871" i="1"/>
  <c r="I871" i="1"/>
  <c r="AI875" i="1"/>
  <c r="AG979" i="1"/>
  <c r="AI979" i="1" s="1"/>
  <c r="F915" i="1"/>
  <c r="O915" i="1"/>
  <c r="Z930" i="1"/>
  <c r="AH974" i="1"/>
  <c r="Z994" i="1"/>
  <c r="O1517" i="1"/>
  <c r="O1577" i="1" s="1"/>
  <c r="O1630" i="1" s="1"/>
  <c r="S1517" i="1"/>
  <c r="W1517" i="1"/>
  <c r="Z23" i="1"/>
  <c r="Y131" i="1"/>
  <c r="AG599" i="1"/>
  <c r="AO599" i="1"/>
  <c r="AH601" i="1"/>
  <c r="AL601" i="1"/>
  <c r="AM607" i="1"/>
  <c r="Z496" i="1"/>
  <c r="AH602" i="1"/>
  <c r="AL602" i="1"/>
  <c r="F561" i="1"/>
  <c r="X575" i="1"/>
  <c r="E596" i="1"/>
  <c r="I596" i="1"/>
  <c r="AJ733" i="1"/>
  <c r="T629" i="1"/>
  <c r="AJ735" i="1"/>
  <c r="AM735" i="1"/>
  <c r="Y623" i="1"/>
  <c r="Y629" i="1" s="1"/>
  <c r="F644" i="1"/>
  <c r="AJ737" i="1"/>
  <c r="AM737" i="1"/>
  <c r="S656" i="1"/>
  <c r="AB656" i="1"/>
  <c r="AG739" i="1"/>
  <c r="AI739" i="1" s="1"/>
  <c r="AO739" i="1"/>
  <c r="AL726" i="1"/>
  <c r="D668" i="1"/>
  <c r="I668" i="1"/>
  <c r="Y659" i="1"/>
  <c r="H668" i="1"/>
  <c r="Y660" i="1"/>
  <c r="Z660" i="1" s="1"/>
  <c r="Z662" i="1"/>
  <c r="L681" i="1"/>
  <c r="X681" i="1"/>
  <c r="I694" i="1"/>
  <c r="P703" i="1"/>
  <c r="T703" i="1"/>
  <c r="Z698" i="1"/>
  <c r="D703" i="1"/>
  <c r="I724" i="1"/>
  <c r="AF733" i="1"/>
  <c r="L738" i="1"/>
  <c r="F784" i="1"/>
  <c r="H798" i="1"/>
  <c r="D871" i="1"/>
  <c r="AP872" i="1"/>
  <c r="L905" i="1"/>
  <c r="F935" i="1"/>
  <c r="J935" i="1"/>
  <c r="N935" i="1"/>
  <c r="S935" i="1"/>
  <c r="Z941" i="1"/>
  <c r="K975" i="1"/>
  <c r="N975" i="1"/>
  <c r="Y973" i="1"/>
  <c r="Z973" i="1" s="1"/>
  <c r="Y979" i="1"/>
  <c r="Z979" i="1" s="1"/>
  <c r="D981" i="1"/>
  <c r="Y1015" i="1"/>
  <c r="Y1023" i="1" s="1"/>
  <c r="AG1342" i="1"/>
  <c r="S1451" i="1"/>
  <c r="AO1090" i="1"/>
  <c r="V1003" i="1"/>
  <c r="Y1000" i="1"/>
  <c r="Z1000" i="1" s="1"/>
  <c r="R1003" i="1"/>
  <c r="R1069" i="1"/>
  <c r="Y1067" i="1"/>
  <c r="Z1067" i="1" s="1"/>
  <c r="D1149" i="1"/>
  <c r="AK1248" i="1"/>
  <c r="AJ1403" i="1"/>
  <c r="AJ1414" i="1" s="1"/>
  <c r="L1367" i="1"/>
  <c r="AM1403" i="1"/>
  <c r="AM1414" i="1" s="1"/>
  <c r="P1367" i="1"/>
  <c r="AF1410" i="1"/>
  <c r="Z1372" i="1"/>
  <c r="D1401" i="1"/>
  <c r="Z1393" i="1"/>
  <c r="Y1411" i="1"/>
  <c r="Z1411" i="1" s="1"/>
  <c r="R1413" i="1"/>
  <c r="O1442" i="1"/>
  <c r="AL1445" i="1"/>
  <c r="Y1497" i="1"/>
  <c r="Z1497" i="1" s="1"/>
  <c r="H1505" i="1"/>
  <c r="AH1506" i="1"/>
  <c r="AI1506" i="1" s="1"/>
  <c r="F1505" i="1"/>
  <c r="AH733" i="1"/>
  <c r="AL733" i="1"/>
  <c r="F629" i="1"/>
  <c r="AH736" i="1"/>
  <c r="AL736" i="1"/>
  <c r="Z647" i="1"/>
  <c r="Z649" i="1"/>
  <c r="AH748" i="1"/>
  <c r="AL748" i="1"/>
  <c r="AN748" i="1" s="1"/>
  <c r="AP748" i="1" s="1"/>
  <c r="P738" i="1"/>
  <c r="T738" i="1"/>
  <c r="Z729" i="1"/>
  <c r="Y730" i="1"/>
  <c r="Z730" i="1" s="1"/>
  <c r="Z734" i="1"/>
  <c r="T749" i="1"/>
  <c r="X749" i="1"/>
  <c r="Z745" i="1"/>
  <c r="Z747" i="1"/>
  <c r="AH867" i="1"/>
  <c r="N775" i="1"/>
  <c r="R775" i="1"/>
  <c r="V775" i="1"/>
  <c r="AA775" i="1"/>
  <c r="Z760" i="1"/>
  <c r="Z764" i="1"/>
  <c r="AM881" i="1"/>
  <c r="AN881" i="1" s="1"/>
  <c r="AG869" i="1"/>
  <c r="AO869" i="1"/>
  <c r="D784" i="1"/>
  <c r="Z780" i="1"/>
  <c r="L784" i="1"/>
  <c r="J798" i="1"/>
  <c r="N798" i="1"/>
  <c r="S798" i="1"/>
  <c r="S809" i="1"/>
  <c r="Z803" i="1"/>
  <c r="AH870" i="1"/>
  <c r="AI870" i="1" s="1"/>
  <c r="AL870" i="1"/>
  <c r="AN870" i="1" s="1"/>
  <c r="Z816" i="1"/>
  <c r="E833" i="1"/>
  <c r="K847" i="1"/>
  <c r="O847" i="1"/>
  <c r="Z840" i="1"/>
  <c r="Y852" i="1"/>
  <c r="AM861" i="1"/>
  <c r="O871" i="1"/>
  <c r="T871" i="1"/>
  <c r="X871" i="1"/>
  <c r="N881" i="1"/>
  <c r="S881" i="1"/>
  <c r="AN875" i="1"/>
  <c r="AP875" i="1" s="1"/>
  <c r="Z876" i="1"/>
  <c r="AF974" i="1"/>
  <c r="AJ974" i="1"/>
  <c r="P894" i="1"/>
  <c r="U894" i="1"/>
  <c r="Z889" i="1"/>
  <c r="AJ976" i="1"/>
  <c r="AM976" i="1"/>
  <c r="L894" i="1"/>
  <c r="AH975" i="1"/>
  <c r="N915" i="1"/>
  <c r="V915" i="1"/>
  <c r="AB915" i="1"/>
  <c r="AB924" i="1"/>
  <c r="J924" i="1"/>
  <c r="L935" i="1"/>
  <c r="Z927" i="1"/>
  <c r="S947" i="1"/>
  <c r="AB947" i="1"/>
  <c r="Z942" i="1"/>
  <c r="AA955" i="1"/>
  <c r="S967" i="1"/>
  <c r="AM974" i="1"/>
  <c r="AG1090" i="1"/>
  <c r="AI1090" i="1" s="1"/>
  <c r="I1003" i="1"/>
  <c r="AA1003" i="1"/>
  <c r="AH1091" i="1"/>
  <c r="Z999" i="1"/>
  <c r="AO1092" i="1"/>
  <c r="AH1093" i="1"/>
  <c r="AL1093" i="1"/>
  <c r="AN1093" i="1" s="1"/>
  <c r="L1011" i="1"/>
  <c r="P1011" i="1"/>
  <c r="K1023" i="1"/>
  <c r="O1023" i="1"/>
  <c r="T1023" i="1"/>
  <c r="Z1019" i="1"/>
  <c r="AH1094" i="1"/>
  <c r="O1034" i="1"/>
  <c r="T1034" i="1"/>
  <c r="X1034" i="1"/>
  <c r="U1044" i="1"/>
  <c r="H1044" i="1"/>
  <c r="Y1038" i="1"/>
  <c r="Z1038" i="1" s="1"/>
  <c r="Z1039" i="1"/>
  <c r="Z1048" i="1"/>
  <c r="D1061" i="1"/>
  <c r="K1061" i="1"/>
  <c r="O1069" i="1"/>
  <c r="Z1083" i="1"/>
  <c r="AL1090" i="1"/>
  <c r="AK1099" i="1"/>
  <c r="F1116" i="1"/>
  <c r="Y1141" i="1"/>
  <c r="Y1149" i="1" s="1"/>
  <c r="Y1333" i="1"/>
  <c r="Z1333" i="1" s="1"/>
  <c r="U1367" i="1"/>
  <c r="AN1452" i="1"/>
  <c r="AP1452" i="1" s="1"/>
  <c r="Y801" i="1"/>
  <c r="Z801" i="1" s="1"/>
  <c r="R809" i="1"/>
  <c r="AI970" i="1"/>
  <c r="R1061" i="1"/>
  <c r="Y1057" i="1"/>
  <c r="Z1057" i="1" s="1"/>
  <c r="H1237" i="1"/>
  <c r="Y1230" i="1"/>
  <c r="Z1230" i="1" s="1"/>
  <c r="Z1446" i="1"/>
  <c r="D1451" i="1"/>
  <c r="AK1504" i="1"/>
  <c r="Y564" i="1"/>
  <c r="Y575" i="1" s="1"/>
  <c r="AG733" i="1"/>
  <c r="AO733" i="1"/>
  <c r="E629" i="1"/>
  <c r="O629" i="1"/>
  <c r="AG736" i="1"/>
  <c r="AO736" i="1"/>
  <c r="Y648" i="1"/>
  <c r="AM739" i="1"/>
  <c r="AN739" i="1" s="1"/>
  <c r="K738" i="1"/>
  <c r="O738" i="1"/>
  <c r="O749" i="1"/>
  <c r="S749" i="1"/>
  <c r="AB749" i="1"/>
  <c r="I775" i="1"/>
  <c r="AG868" i="1"/>
  <c r="AO868" i="1"/>
  <c r="Z770" i="1"/>
  <c r="AF869" i="1"/>
  <c r="F775" i="1"/>
  <c r="O784" i="1"/>
  <c r="T784" i="1"/>
  <c r="X784" i="1"/>
  <c r="AB784" i="1"/>
  <c r="D798" i="1"/>
  <c r="Z787" i="1"/>
  <c r="I798" i="1"/>
  <c r="Y795" i="1"/>
  <c r="Z795" i="1" s="1"/>
  <c r="AM865" i="1"/>
  <c r="V809" i="1"/>
  <c r="V820" i="1"/>
  <c r="P833" i="1"/>
  <c r="U833" i="1"/>
  <c r="Y824" i="1"/>
  <c r="R833" i="1"/>
  <c r="F847" i="1"/>
  <c r="Z841" i="1"/>
  <c r="AL861" i="1"/>
  <c r="J871" i="1"/>
  <c r="N871" i="1"/>
  <c r="S871" i="1"/>
  <c r="I881" i="1"/>
  <c r="V881" i="1"/>
  <c r="AA881" i="1"/>
  <c r="K894" i="1"/>
  <c r="O894" i="1"/>
  <c r="T894" i="1"/>
  <c r="F894" i="1"/>
  <c r="AF978" i="1"/>
  <c r="P905" i="1"/>
  <c r="T905" i="1"/>
  <c r="AG975" i="1"/>
  <c r="AO975" i="1"/>
  <c r="U905" i="1"/>
  <c r="AA915" i="1"/>
  <c r="N924" i="1"/>
  <c r="S924" i="1"/>
  <c r="N947" i="1"/>
  <c r="J947" i="1"/>
  <c r="L955" i="1"/>
  <c r="V975" i="1"/>
  <c r="Z972" i="1"/>
  <c r="P981" i="1"/>
  <c r="U981" i="1"/>
  <c r="Z978" i="1"/>
  <c r="AG1091" i="1"/>
  <c r="AO1091" i="1"/>
  <c r="Z996" i="1"/>
  <c r="AG1093" i="1"/>
  <c r="AO1093" i="1"/>
  <c r="F1023" i="1"/>
  <c r="AJ1097" i="1"/>
  <c r="AM1097" i="1"/>
  <c r="J1034" i="1"/>
  <c r="N1034" i="1"/>
  <c r="S1034" i="1"/>
  <c r="L1044" i="1"/>
  <c r="P1044" i="1"/>
  <c r="Z1042" i="1"/>
  <c r="F1069" i="1"/>
  <c r="J1069" i="1"/>
  <c r="AH1089" i="1"/>
  <c r="AL1154" i="1"/>
  <c r="Z1184" i="1"/>
  <c r="H1248" i="1"/>
  <c r="AI1267" i="1"/>
  <c r="E1315" i="1"/>
  <c r="I1315" i="1"/>
  <c r="V1315" i="1"/>
  <c r="F1323" i="1"/>
  <c r="Z1334" i="1"/>
  <c r="AJ1351" i="1"/>
  <c r="AM1351" i="1"/>
  <c r="AI1340" i="1"/>
  <c r="Z1361" i="1"/>
  <c r="Y1361" i="1"/>
  <c r="Y1367" i="1" s="1"/>
  <c r="R1089" i="1"/>
  <c r="Y1086" i="1"/>
  <c r="Z1086" i="1" s="1"/>
  <c r="Y1189" i="1"/>
  <c r="R1199" i="1"/>
  <c r="AF1239" i="1"/>
  <c r="AJ1239" i="1"/>
  <c r="L1224" i="1"/>
  <c r="AF1403" i="1"/>
  <c r="D1367" i="1"/>
  <c r="V1367" i="1"/>
  <c r="AO1403" i="1"/>
  <c r="AO1414" i="1" s="1"/>
  <c r="AI1493" i="1"/>
  <c r="AQ1502" i="1"/>
  <c r="AK1502" i="1"/>
  <c r="H775" i="1"/>
  <c r="H809" i="1"/>
  <c r="N809" i="1" s="1"/>
  <c r="H881" i="1"/>
  <c r="Z892" i="1"/>
  <c r="Y908" i="1"/>
  <c r="Y909" i="1"/>
  <c r="Z909" i="1" s="1"/>
  <c r="H935" i="1"/>
  <c r="AL1091" i="1"/>
  <c r="AL1089" i="1"/>
  <c r="AJ1092" i="1"/>
  <c r="AM1092" i="1"/>
  <c r="H1003" i="1"/>
  <c r="AL1094" i="1"/>
  <c r="Y1036" i="1"/>
  <c r="E1061" i="1"/>
  <c r="J1061" i="1"/>
  <c r="K1069" i="1"/>
  <c r="I1081" i="1"/>
  <c r="V1081" i="1"/>
  <c r="Z1077" i="1"/>
  <c r="F1089" i="1"/>
  <c r="K1089" i="1"/>
  <c r="AG1154" i="1"/>
  <c r="AO1154" i="1"/>
  <c r="Z1133" i="1"/>
  <c r="AI1151" i="1"/>
  <c r="Y1158" i="1"/>
  <c r="AF1240" i="1"/>
  <c r="AJ1240" i="1"/>
  <c r="AM1240" i="1"/>
  <c r="Z1183" i="1"/>
  <c r="F1199" i="1"/>
  <c r="J1199" i="1"/>
  <c r="N1199" i="1"/>
  <c r="V1199" i="1"/>
  <c r="T1224" i="1"/>
  <c r="P1224" i="1"/>
  <c r="AO1240" i="1"/>
  <c r="AQ1249" i="1"/>
  <c r="AR1249" i="1" s="1"/>
  <c r="K1303" i="1"/>
  <c r="T1303" i="1"/>
  <c r="X1303" i="1"/>
  <c r="S1315" i="1"/>
  <c r="Y1323" i="1"/>
  <c r="Z1317" i="1"/>
  <c r="T1351" i="1"/>
  <c r="I1367" i="1"/>
  <c r="Z1360" i="1"/>
  <c r="AG1409" i="1"/>
  <c r="AI1409" i="1" s="1"/>
  <c r="Z1390" i="1"/>
  <c r="V1390" i="1"/>
  <c r="J1413" i="1"/>
  <c r="N1413" i="1"/>
  <c r="AI1503" i="1"/>
  <c r="AG1497" i="1"/>
  <c r="AI1497" i="1" s="1"/>
  <c r="Y1116" i="1"/>
  <c r="Z1107" i="1"/>
  <c r="D1136" i="1"/>
  <c r="AN1151" i="1"/>
  <c r="D1186" i="1"/>
  <c r="Z1241" i="1"/>
  <c r="D1248" i="1"/>
  <c r="AJ1342" i="1"/>
  <c r="L1286" i="1"/>
  <c r="AM1342" i="1"/>
  <c r="AN1342" i="1" s="1"/>
  <c r="AP1342" i="1" s="1"/>
  <c r="P1286" i="1"/>
  <c r="AH1341" i="1"/>
  <c r="F1315" i="1"/>
  <c r="Z891" i="1"/>
  <c r="AF1090" i="1"/>
  <c r="AJ1090" i="1"/>
  <c r="AM1090" i="1"/>
  <c r="AJ1091" i="1"/>
  <c r="AF1089" i="1"/>
  <c r="AM1089" i="1"/>
  <c r="AF1092" i="1"/>
  <c r="AF1093" i="1"/>
  <c r="D1003" i="1"/>
  <c r="AJ1094" i="1"/>
  <c r="AM1094" i="1"/>
  <c r="F1052" i="1"/>
  <c r="O1061" i="1"/>
  <c r="T1061" i="1"/>
  <c r="D1069" i="1"/>
  <c r="AA1081" i="1"/>
  <c r="Z1076" i="1"/>
  <c r="AN1099" i="1"/>
  <c r="AP1099" i="1" s="1"/>
  <c r="AG1089" i="1"/>
  <c r="AO1089" i="1"/>
  <c r="AM1153" i="1"/>
  <c r="Y1130" i="1"/>
  <c r="Y1136" i="1" s="1"/>
  <c r="U1175" i="1"/>
  <c r="AO1241" i="1"/>
  <c r="L1186" i="1"/>
  <c r="P1186" i="1"/>
  <c r="T1186" i="1"/>
  <c r="T1270" i="1" s="1"/>
  <c r="T1616" i="1" s="1"/>
  <c r="X1186" i="1"/>
  <c r="S1199" i="1"/>
  <c r="Z1193" i="1"/>
  <c r="U1224" i="1"/>
  <c r="H1286" i="1"/>
  <c r="Y1275" i="1"/>
  <c r="Z1276" i="1"/>
  <c r="Z1278" i="1"/>
  <c r="Z1280" i="1"/>
  <c r="Z1282" i="1"/>
  <c r="AN1340" i="1"/>
  <c r="AP1340" i="1" s="1"/>
  <c r="Z1408" i="1"/>
  <c r="AM1449" i="1"/>
  <c r="N1451" i="1"/>
  <c r="D1099" i="1"/>
  <c r="AG1153" i="1"/>
  <c r="E1116" i="1"/>
  <c r="D1208" i="1"/>
  <c r="Z1203" i="1"/>
  <c r="AF1266" i="1"/>
  <c r="F1432" i="1"/>
  <c r="AH1445" i="1"/>
  <c r="AI1445" i="1" s="1"/>
  <c r="AF1451" i="1"/>
  <c r="Z1448" i="1"/>
  <c r="AB1556" i="1"/>
  <c r="Z1556" i="1"/>
  <c r="Y1093" i="1"/>
  <c r="Y1099" i="1" s="1"/>
  <c r="V1116" i="1"/>
  <c r="O1124" i="1"/>
  <c r="Z1131" i="1"/>
  <c r="F1149" i="1"/>
  <c r="Z1144" i="1"/>
  <c r="F1158" i="1"/>
  <c r="K1158" i="1"/>
  <c r="N1175" i="1"/>
  <c r="R1175" i="1"/>
  <c r="V1175" i="1"/>
  <c r="AG1241" i="1"/>
  <c r="AI1241" i="1" s="1"/>
  <c r="AH1245" i="1"/>
  <c r="AL1245" i="1"/>
  <c r="E1175" i="1"/>
  <c r="D1224" i="1"/>
  <c r="I1224" i="1"/>
  <c r="Z1231" i="1"/>
  <c r="S1248" i="1"/>
  <c r="Z1243" i="1"/>
  <c r="D1268" i="1"/>
  <c r="Z1261" i="1"/>
  <c r="AI1268" i="1"/>
  <c r="AH1347" i="1"/>
  <c r="AI1347" i="1" s="1"/>
  <c r="AL1347" i="1"/>
  <c r="AO1348" i="1"/>
  <c r="O1286" i="1"/>
  <c r="V1303" i="1"/>
  <c r="D1315" i="1"/>
  <c r="Z1307" i="1"/>
  <c r="N1323" i="1"/>
  <c r="S1323" i="1"/>
  <c r="Z1319" i="1"/>
  <c r="P1351" i="1"/>
  <c r="X1351" i="1"/>
  <c r="AN1350" i="1"/>
  <c r="AP1350" i="1" s="1"/>
  <c r="Z1398" i="1"/>
  <c r="H1401" i="1"/>
  <c r="AI1447" i="1"/>
  <c r="Z1423" i="1"/>
  <c r="Z1424" i="1"/>
  <c r="Z1427" i="1"/>
  <c r="N1442" i="1"/>
  <c r="AI1443" i="1"/>
  <c r="AK1444" i="1"/>
  <c r="AO1445" i="1"/>
  <c r="V1451" i="1"/>
  <c r="S1469" i="1"/>
  <c r="K1479" i="1"/>
  <c r="Z1485" i="1"/>
  <c r="Z1489" i="1"/>
  <c r="K1505" i="1"/>
  <c r="L1574" i="1"/>
  <c r="P1574" i="1"/>
  <c r="Z1548" i="1"/>
  <c r="AB1554" i="1"/>
  <c r="AF1153" i="1"/>
  <c r="D1116" i="1"/>
  <c r="AG1157" i="1"/>
  <c r="AI1157" i="1" s="1"/>
  <c r="E1136" i="1"/>
  <c r="AF1241" i="1"/>
  <c r="Z1167" i="1"/>
  <c r="D1303" i="1"/>
  <c r="H1378" i="1"/>
  <c r="Y1370" i="1"/>
  <c r="Y1378" i="1" s="1"/>
  <c r="AL1414" i="1"/>
  <c r="AN1401" i="1"/>
  <c r="AF1447" i="1"/>
  <c r="D1432" i="1"/>
  <c r="Y1561" i="1"/>
  <c r="Z1561" i="1" s="1"/>
  <c r="R1574" i="1"/>
  <c r="AJ1153" i="1"/>
  <c r="J1116" i="1"/>
  <c r="AJ1155" i="1"/>
  <c r="Y1119" i="1"/>
  <c r="J1136" i="1"/>
  <c r="N1136" i="1"/>
  <c r="S1136" i="1"/>
  <c r="S1161" i="1" s="1"/>
  <c r="S1614" i="1" s="1"/>
  <c r="AB1136" i="1"/>
  <c r="Z1132" i="1"/>
  <c r="V1149" i="1"/>
  <c r="R1158" i="1"/>
  <c r="R1161" i="1" s="1"/>
  <c r="R1614" i="1" s="1"/>
  <c r="V1158" i="1"/>
  <c r="AI1152" i="1"/>
  <c r="AL1153" i="1"/>
  <c r="I1175" i="1"/>
  <c r="Y1166" i="1"/>
  <c r="U1186" i="1"/>
  <c r="H1199" i="1"/>
  <c r="D1199" i="1"/>
  <c r="Z1192" i="1"/>
  <c r="O1208" i="1"/>
  <c r="S1208" i="1"/>
  <c r="AB1208" i="1"/>
  <c r="Z1205" i="1"/>
  <c r="X1224" i="1"/>
  <c r="Y1212" i="1"/>
  <c r="Z1212" i="1" s="1"/>
  <c r="P1237" i="1"/>
  <c r="U1237" i="1"/>
  <c r="Z1228" i="1"/>
  <c r="Z1232" i="1"/>
  <c r="K1237" i="1"/>
  <c r="J1248" i="1"/>
  <c r="N1248" i="1"/>
  <c r="AB1248" i="1"/>
  <c r="S1268" i="1"/>
  <c r="AB1268" i="1"/>
  <c r="Z1277" i="1"/>
  <c r="Z1279" i="1"/>
  <c r="Z1281" i="1"/>
  <c r="AJ1348" i="1"/>
  <c r="H1303" i="1"/>
  <c r="L1303" i="1"/>
  <c r="Y1291" i="1"/>
  <c r="Y1303" i="1" s="1"/>
  <c r="I1303" i="1"/>
  <c r="O1315" i="1"/>
  <c r="T1315" i="1"/>
  <c r="X1315" i="1"/>
  <c r="AB1315" i="1"/>
  <c r="I1323" i="1"/>
  <c r="V1323" i="1"/>
  <c r="AA1323" i="1"/>
  <c r="AF1339" i="1"/>
  <c r="AM1339" i="1"/>
  <c r="U1342" i="1"/>
  <c r="P1378" i="1"/>
  <c r="T1378" i="1"/>
  <c r="Z1399" i="1"/>
  <c r="R1401" i="1"/>
  <c r="AJ1447" i="1"/>
  <c r="AM1447" i="1"/>
  <c r="AN1447" i="1" s="1"/>
  <c r="AP1447" i="1" s="1"/>
  <c r="Y1422" i="1"/>
  <c r="Y1432" i="1" s="1"/>
  <c r="H1451" i="1"/>
  <c r="AM1503" i="1"/>
  <c r="P1479" i="1"/>
  <c r="K1574" i="1"/>
  <c r="AB1546" i="1"/>
  <c r="AF1411" i="1"/>
  <c r="Z1376" i="1"/>
  <c r="AL1502" i="1"/>
  <c r="AL1501" i="1"/>
  <c r="AB1557" i="1"/>
  <c r="Z1557" i="1"/>
  <c r="AB1568" i="1"/>
  <c r="Z1568" i="1"/>
  <c r="H1081" i="1"/>
  <c r="L1175" i="1"/>
  <c r="Z1190" i="1"/>
  <c r="AH1247" i="1"/>
  <c r="F1286" i="1"/>
  <c r="AG1343" i="1"/>
  <c r="AI1343" i="1" s="1"/>
  <c r="AO1343" i="1"/>
  <c r="AF1340" i="1"/>
  <c r="AJ1340" i="1"/>
  <c r="AL1339" i="1"/>
  <c r="H1323" i="1"/>
  <c r="N1342" i="1"/>
  <c r="AG1351" i="1"/>
  <c r="AO1351" i="1"/>
  <c r="Y1345" i="1"/>
  <c r="AA1367" i="1"/>
  <c r="Z1363" i="1"/>
  <c r="U1378" i="1"/>
  <c r="K1384" i="1"/>
  <c r="O1384" i="1"/>
  <c r="T1384" i="1"/>
  <c r="Y1382" i="1"/>
  <c r="Y1384" i="1" s="1"/>
  <c r="AG1403" i="1"/>
  <c r="AI1411" i="1"/>
  <c r="Z1426" i="1"/>
  <c r="AH1448" i="1"/>
  <c r="AL1448" i="1"/>
  <c r="AN1448" i="1" s="1"/>
  <c r="I1451" i="1"/>
  <c r="AB1451" i="1"/>
  <c r="AB1454" i="1" s="1"/>
  <c r="AB1622" i="1" s="1"/>
  <c r="V1469" i="1"/>
  <c r="AL1492" i="1"/>
  <c r="T1479" i="1"/>
  <c r="V1491" i="1"/>
  <c r="O1505" i="1"/>
  <c r="S1505" i="1"/>
  <c r="AN1503" i="1"/>
  <c r="AP1503" i="1" s="1"/>
  <c r="AK1505" i="1"/>
  <c r="J1574" i="1"/>
  <c r="N1574" i="1"/>
  <c r="AB1541" i="1"/>
  <c r="Z1550" i="1"/>
  <c r="Z1558" i="1"/>
  <c r="Z1569" i="1"/>
  <c r="AF1450" i="1"/>
  <c r="Z1430" i="1"/>
  <c r="Y1445" i="1"/>
  <c r="R1451" i="1"/>
  <c r="R1454" i="1" s="1"/>
  <c r="R1622" i="1" s="1"/>
  <c r="Y1084" i="1"/>
  <c r="D1175" i="1"/>
  <c r="F1351" i="1"/>
  <c r="Z1395" i="1"/>
  <c r="Z1397" i="1"/>
  <c r="AN1410" i="1"/>
  <c r="AP1410" i="1" s="1"/>
  <c r="P1432" i="1"/>
  <c r="AG1448" i="1"/>
  <c r="AI1448" i="1" s="1"/>
  <c r="AO1448" i="1"/>
  <c r="F1442" i="1"/>
  <c r="F1451" i="1"/>
  <c r="J1451" i="1"/>
  <c r="J1454" i="1" s="1"/>
  <c r="J1622" i="1" s="1"/>
  <c r="AA1451" i="1"/>
  <c r="AA1454" i="1" s="1"/>
  <c r="AA1622" i="1" s="1"/>
  <c r="AN1450" i="1"/>
  <c r="AP1450" i="1" s="1"/>
  <c r="AL1497" i="1"/>
  <c r="AB1491" i="1"/>
  <c r="AB1543" i="1"/>
  <c r="Z1546" i="1"/>
  <c r="AB1566" i="1"/>
  <c r="AB1571" i="1"/>
  <c r="Y1459" i="1"/>
  <c r="Y1469" i="1" s="1"/>
  <c r="H1469" i="1"/>
  <c r="P1469" i="1"/>
  <c r="AM1497" i="1"/>
  <c r="D1479" i="1"/>
  <c r="H1479" i="1"/>
  <c r="Y1472" i="1"/>
  <c r="Y1479" i="1" s="1"/>
  <c r="Z1482" i="1"/>
  <c r="D1491" i="1"/>
  <c r="Z1487" i="1"/>
  <c r="AF1493" i="1"/>
  <c r="D1574" i="1"/>
  <c r="Z1536" i="1"/>
  <c r="AH1449" i="1"/>
  <c r="AI1449" i="1" s="1"/>
  <c r="AL1449" i="1"/>
  <c r="P1451" i="1"/>
  <c r="T1451" i="1"/>
  <c r="AM1445" i="1"/>
  <c r="L1469" i="1"/>
  <c r="L1479" i="1"/>
  <c r="X1479" i="1"/>
  <c r="AF1503" i="1"/>
  <c r="Z1476" i="1"/>
  <c r="H1491" i="1"/>
  <c r="L1491" i="1"/>
  <c r="X1491" i="1"/>
  <c r="Z1483" i="1"/>
  <c r="AF1492" i="1"/>
  <c r="T1505" i="1"/>
  <c r="X1505" i="1"/>
  <c r="AB1505" i="1"/>
  <c r="AF1497" i="1"/>
  <c r="AN1505" i="1"/>
  <c r="AP1505" i="1" s="1"/>
  <c r="O1574" i="1"/>
  <c r="S1574" i="1"/>
  <c r="AB1536" i="1"/>
  <c r="Z1543" i="1"/>
  <c r="AB1549" i="1"/>
  <c r="AB1564" i="1"/>
  <c r="Z1566" i="1"/>
  <c r="Z1570" i="1"/>
  <c r="E1451" i="1"/>
  <c r="E1454" i="1" s="1"/>
  <c r="E1622" i="1" s="1"/>
  <c r="U1451" i="1"/>
  <c r="AA1469" i="1"/>
  <c r="I1479" i="1"/>
  <c r="AA1479" i="1"/>
  <c r="I1491" i="1"/>
  <c r="Z1486" i="1"/>
  <c r="E1491" i="1"/>
  <c r="D1505" i="1"/>
  <c r="Z1495" i="1"/>
  <c r="Z1503" i="1"/>
  <c r="T1574" i="1"/>
  <c r="X1574" i="1"/>
  <c r="Z1544" i="1"/>
  <c r="Z1553" i="1"/>
  <c r="AB1561" i="1"/>
  <c r="Z1562" i="1"/>
  <c r="Y1565" i="1"/>
  <c r="Z1565" i="1" s="1"/>
  <c r="Z1466" i="1"/>
  <c r="F1469" i="1"/>
  <c r="Z1061" i="1" l="1"/>
  <c r="R752" i="1"/>
  <c r="R1606" i="1" s="1"/>
  <c r="AN443" i="1"/>
  <c r="AP443" i="1" s="1"/>
  <c r="Z1370" i="1"/>
  <c r="AH161" i="1"/>
  <c r="U265" i="1"/>
  <c r="U1600" i="1" s="1"/>
  <c r="AQ1248" i="1"/>
  <c r="AR1248" i="1" s="1"/>
  <c r="AQ1451" i="1"/>
  <c r="Z392" i="1"/>
  <c r="F1542" i="1"/>
  <c r="Z1459" i="1"/>
  <c r="Y749" i="1"/>
  <c r="X1416" i="1"/>
  <c r="X1620" i="1" s="1"/>
  <c r="AN1241" i="1"/>
  <c r="AI1092" i="1"/>
  <c r="S1416" i="1"/>
  <c r="S1620" i="1" s="1"/>
  <c r="AK1156" i="1"/>
  <c r="AI1097" i="1"/>
  <c r="AO751" i="1"/>
  <c r="AN979" i="1"/>
  <c r="AP979" i="1" s="1"/>
  <c r="Z1382" i="1"/>
  <c r="Z1384" i="1" s="1"/>
  <c r="AI975" i="1"/>
  <c r="AJ153" i="1"/>
  <c r="AN1239" i="1"/>
  <c r="AP153" i="1"/>
  <c r="AN1504" i="1"/>
  <c r="AQ1504" i="1" s="1"/>
  <c r="AR1504" i="1" s="1"/>
  <c r="AS603" i="1"/>
  <c r="AP1504" i="1"/>
  <c r="AS1503" i="1" s="1"/>
  <c r="AK727" i="1"/>
  <c r="AQ727" i="1"/>
  <c r="S265" i="1"/>
  <c r="S1600" i="1" s="1"/>
  <c r="Y1237" i="1"/>
  <c r="D1161" i="1"/>
  <c r="D1614" i="1" s="1"/>
  <c r="AI436" i="1"/>
  <c r="AK436" i="1" s="1"/>
  <c r="AI429" i="1"/>
  <c r="AK429" i="1" s="1"/>
  <c r="S162" i="1"/>
  <c r="S1598" i="1" s="1"/>
  <c r="AI1247" i="1"/>
  <c r="AN1501" i="1"/>
  <c r="AP1501" i="1" s="1"/>
  <c r="Z1206" i="1"/>
  <c r="Z1208" i="1" s="1"/>
  <c r="AN1347" i="1"/>
  <c r="AN1245" i="1"/>
  <c r="AS1098" i="1"/>
  <c r="I1416" i="1"/>
  <c r="I1620" i="1" s="1"/>
  <c r="AO1160" i="1"/>
  <c r="AI736" i="1"/>
  <c r="AI733" i="1"/>
  <c r="AP1093" i="1"/>
  <c r="AM986" i="1"/>
  <c r="AB987" i="1"/>
  <c r="AB1610" i="1" s="1"/>
  <c r="AJ986" i="1"/>
  <c r="AP870" i="1"/>
  <c r="AP881" i="1"/>
  <c r="AN737" i="1"/>
  <c r="AP737" i="1" s="1"/>
  <c r="AN601" i="1"/>
  <c r="AP601" i="1" s="1"/>
  <c r="Z1442" i="1"/>
  <c r="AI749" i="1"/>
  <c r="AH615" i="1"/>
  <c r="F1550" i="1" s="1"/>
  <c r="AQ604" i="1"/>
  <c r="AR604" i="1" s="1"/>
  <c r="AP439" i="1"/>
  <c r="AI255" i="1"/>
  <c r="U162" i="1"/>
  <c r="U1598" i="1" s="1"/>
  <c r="AN89" i="1"/>
  <c r="AP89" i="1" s="1"/>
  <c r="Y1517" i="1"/>
  <c r="Y1577" i="1" s="1"/>
  <c r="Z31" i="1"/>
  <c r="AQ450" i="1"/>
  <c r="AR450" i="1" s="1"/>
  <c r="AK441" i="1"/>
  <c r="AS440" i="1" s="1"/>
  <c r="AP1493" i="1"/>
  <c r="AJ1453" i="1"/>
  <c r="AJ1507" i="1"/>
  <c r="AB1416" i="1"/>
  <c r="AB1620" i="1" s="1"/>
  <c r="J1353" i="1"/>
  <c r="J1618" i="1" s="1"/>
  <c r="L1161" i="1"/>
  <c r="L1614" i="1" s="1"/>
  <c r="T987" i="1"/>
  <c r="T1610" i="1" s="1"/>
  <c r="J1507" i="1"/>
  <c r="J1624" i="1" s="1"/>
  <c r="AQ1446" i="1"/>
  <c r="AR1446" i="1" s="1"/>
  <c r="AN1443" i="1"/>
  <c r="F1416" i="1"/>
  <c r="F1620" i="1" s="1"/>
  <c r="E1416" i="1"/>
  <c r="E1620" i="1" s="1"/>
  <c r="AN977" i="1"/>
  <c r="AP977" i="1" s="1"/>
  <c r="AK254" i="1"/>
  <c r="AI86" i="1"/>
  <c r="Z744" i="1"/>
  <c r="AI1339" i="1"/>
  <c r="AK1339" i="1" s="1"/>
  <c r="AN980" i="1"/>
  <c r="AP980" i="1" s="1"/>
  <c r="AI143" i="1"/>
  <c r="X1161" i="1"/>
  <c r="X1614" i="1" s="1"/>
  <c r="AN444" i="1"/>
  <c r="AP444" i="1" s="1"/>
  <c r="AH1160" i="1"/>
  <c r="AP1263" i="1"/>
  <c r="X1454" i="1"/>
  <c r="X1622" i="1" s="1"/>
  <c r="X1353" i="1"/>
  <c r="X1618" i="1" s="1"/>
  <c r="AN1097" i="1"/>
  <c r="AP1097" i="1" s="1"/>
  <c r="AN256" i="1"/>
  <c r="Y549" i="1"/>
  <c r="AI253" i="1"/>
  <c r="AK253" i="1" s="1"/>
  <c r="AS252" i="1" s="1"/>
  <c r="AP1156" i="1"/>
  <c r="AS1155" i="1" s="1"/>
  <c r="S1101" i="1"/>
  <c r="S1612" i="1" s="1"/>
  <c r="AP438" i="1"/>
  <c r="AS159" i="1"/>
  <c r="X162" i="1"/>
  <c r="X1598" i="1" s="1"/>
  <c r="AH1507" i="1"/>
  <c r="Z1342" i="1"/>
  <c r="AN976" i="1"/>
  <c r="AP976" i="1" s="1"/>
  <c r="O1454" i="1"/>
  <c r="O1622" i="1" s="1"/>
  <c r="AJ615" i="1"/>
  <c r="N453" i="1"/>
  <c r="N1602" i="1" s="1"/>
  <c r="AB453" i="1"/>
  <c r="AB1602" i="1" s="1"/>
  <c r="AI439" i="1"/>
  <c r="Z204" i="1"/>
  <c r="Z218" i="1" s="1"/>
  <c r="R95" i="1"/>
  <c r="R1596" i="1" s="1"/>
  <c r="Z1517" i="1"/>
  <c r="AS970" i="1"/>
  <c r="Y1052" i="1"/>
  <c r="Y326" i="1"/>
  <c r="AN1157" i="1"/>
  <c r="AP1157" i="1" s="1"/>
  <c r="AQ1156" i="1"/>
  <c r="AR1156" i="1" s="1"/>
  <c r="AP1409" i="1"/>
  <c r="AN871" i="1"/>
  <c r="AP871" i="1" s="1"/>
  <c r="AI871" i="1"/>
  <c r="AQ431" i="1"/>
  <c r="AR431" i="1" s="1"/>
  <c r="AN437" i="1"/>
  <c r="AP437" i="1" s="1"/>
  <c r="AI258" i="1"/>
  <c r="AK258" i="1" s="1"/>
  <c r="J162" i="1"/>
  <c r="J1598" i="1" s="1"/>
  <c r="AN144" i="1"/>
  <c r="AP144" i="1" s="1"/>
  <c r="AN83" i="1"/>
  <c r="AP83" i="1" s="1"/>
  <c r="AI87" i="1"/>
  <c r="AI438" i="1"/>
  <c r="O265" i="1"/>
  <c r="O1600" i="1" s="1"/>
  <c r="Z749" i="1"/>
  <c r="AQ144" i="1"/>
  <c r="AR144" i="1" s="1"/>
  <c r="AP1347" i="1"/>
  <c r="Y1186" i="1"/>
  <c r="S1353" i="1"/>
  <c r="S1618" i="1" s="1"/>
  <c r="AJ751" i="1"/>
  <c r="AK430" i="1"/>
  <c r="R265" i="1"/>
  <c r="R1600" i="1" s="1"/>
  <c r="P162" i="1"/>
  <c r="P1598" i="1" s="1"/>
  <c r="Y644" i="1"/>
  <c r="AO161" i="1"/>
  <c r="O1416" i="1"/>
  <c r="O1620" i="1" s="1"/>
  <c r="K1353" i="1"/>
  <c r="K1618" i="1" s="1"/>
  <c r="AN981" i="1"/>
  <c r="AA1270" i="1"/>
  <c r="AA1616" i="1" s="1"/>
  <c r="AI440" i="1"/>
  <c r="AK1451" i="1"/>
  <c r="K1416" i="1"/>
  <c r="K1620" i="1" s="1"/>
  <c r="AA1353" i="1"/>
  <c r="AA1618" i="1" s="1"/>
  <c r="K1507" i="1"/>
  <c r="K1624" i="1" s="1"/>
  <c r="AQ1266" i="1"/>
  <c r="K1161" i="1"/>
  <c r="K1614" i="1" s="1"/>
  <c r="T1101" i="1"/>
  <c r="T1612" i="1" s="1"/>
  <c r="N1416" i="1"/>
  <c r="N1620" i="1" s="1"/>
  <c r="AG1507" i="1"/>
  <c r="V1416" i="1"/>
  <c r="V1620" i="1" s="1"/>
  <c r="AJ1269" i="1"/>
  <c r="AS1247" i="1"/>
  <c r="AN1154" i="1"/>
  <c r="AP1154" i="1" s="1"/>
  <c r="AI868" i="1"/>
  <c r="AQ868" i="1" s="1"/>
  <c r="AR868" i="1" s="1"/>
  <c r="Y656" i="1"/>
  <c r="AP869" i="1"/>
  <c r="X616" i="1"/>
  <c r="X1604" i="1" s="1"/>
  <c r="Z1034" i="1"/>
  <c r="Y894" i="1"/>
  <c r="AN727" i="1"/>
  <c r="AP727" i="1" s="1"/>
  <c r="AS1348" i="1"/>
  <c r="Z684" i="1"/>
  <c r="Z694" i="1" s="1"/>
  <c r="AP606" i="1"/>
  <c r="F95" i="1"/>
  <c r="F1596" i="1" s="1"/>
  <c r="Z55" i="1"/>
  <c r="Y287" i="1"/>
  <c r="AK750" i="1"/>
  <c r="AS749" i="1" s="1"/>
  <c r="Y499" i="1"/>
  <c r="AQ971" i="1"/>
  <c r="AR971" i="1" s="1"/>
  <c r="AN599" i="1"/>
  <c r="AP599" i="1" s="1"/>
  <c r="AI263" i="1"/>
  <c r="AK263" i="1" s="1"/>
  <c r="AS262" i="1" s="1"/>
  <c r="Y1061" i="1"/>
  <c r="AK432" i="1"/>
  <c r="AS431" i="1" s="1"/>
  <c r="AQ92" i="1"/>
  <c r="AR92" i="1" s="1"/>
  <c r="AK144" i="1"/>
  <c r="AS143" i="1" s="1"/>
  <c r="AQ1413" i="1"/>
  <c r="AR1413" i="1" s="1"/>
  <c r="AN1348" i="1"/>
  <c r="AK1159" i="1"/>
  <c r="AS1157" i="1"/>
  <c r="I1161" i="1"/>
  <c r="I1614" i="1" s="1"/>
  <c r="AP978" i="1"/>
  <c r="AS144" i="1"/>
  <c r="AF161" i="1"/>
  <c r="U95" i="1"/>
  <c r="AS1443" i="1"/>
  <c r="N1353" i="1"/>
  <c r="N1618" i="1" s="1"/>
  <c r="P1161" i="1"/>
  <c r="P1614" i="1" s="1"/>
  <c r="AI600" i="1"/>
  <c r="X265" i="1"/>
  <c r="X1600" i="1" s="1"/>
  <c r="Y55" i="1"/>
  <c r="AN254" i="1"/>
  <c r="AQ254" i="1" s="1"/>
  <c r="AR254" i="1" s="1"/>
  <c r="AQ1401" i="1"/>
  <c r="Z1469" i="1"/>
  <c r="AM1507" i="1"/>
  <c r="AS1504" i="1"/>
  <c r="U1353" i="1"/>
  <c r="U1618" i="1" s="1"/>
  <c r="AH1100" i="1"/>
  <c r="J1101" i="1"/>
  <c r="J1612" i="1" s="1"/>
  <c r="AI869" i="1"/>
  <c r="AQ869" i="1" s="1"/>
  <c r="AR869" i="1" s="1"/>
  <c r="I752" i="1"/>
  <c r="I1606" i="1" s="1"/>
  <c r="X987" i="1"/>
  <c r="X1610" i="1" s="1"/>
  <c r="AN607" i="1"/>
  <c r="AP607" i="1" s="1"/>
  <c r="L1454" i="1"/>
  <c r="L1622" i="1" s="1"/>
  <c r="AL161" i="1"/>
  <c r="AK1446" i="1"/>
  <c r="AS1445" i="1" s="1"/>
  <c r="S95" i="1"/>
  <c r="S1596" i="1" s="1"/>
  <c r="AP252" i="1"/>
  <c r="N1507" i="1"/>
  <c r="N1624" i="1" s="1"/>
  <c r="X1101" i="1"/>
  <c r="X1612" i="1" s="1"/>
  <c r="AA987" i="1"/>
  <c r="AA1610" i="1" s="1"/>
  <c r="I987" i="1"/>
  <c r="I1610" i="1" s="1"/>
  <c r="AP258" i="1"/>
  <c r="D1507" i="1"/>
  <c r="D1624" i="1" s="1"/>
  <c r="I1507" i="1"/>
  <c r="I1624" i="1" s="1"/>
  <c r="AL1160" i="1"/>
  <c r="N1161" i="1"/>
  <c r="N1614" i="1" s="1"/>
  <c r="AN1403" i="1"/>
  <c r="AN1414" i="1" s="1"/>
  <c r="AQ1402" i="1"/>
  <c r="AM1269" i="1"/>
  <c r="E1101" i="1"/>
  <c r="E1612" i="1" s="1"/>
  <c r="H987" i="1"/>
  <c r="H1610" i="1" s="1"/>
  <c r="Y1610" i="1" s="1"/>
  <c r="AR1502" i="1"/>
  <c r="AN1351" i="1"/>
  <c r="Y847" i="1"/>
  <c r="S752" i="1"/>
  <c r="S1606" i="1" s="1"/>
  <c r="AP739" i="1"/>
  <c r="Y1342" i="1"/>
  <c r="AI1094" i="1"/>
  <c r="AK1094" i="1" s="1"/>
  <c r="Y703" i="1"/>
  <c r="Y871" i="1"/>
  <c r="AM751" i="1"/>
  <c r="V752" i="1"/>
  <c r="V1606" i="1" s="1"/>
  <c r="AN1343" i="1"/>
  <c r="AQ1343" i="1" s="1"/>
  <c r="AR1343" i="1" s="1"/>
  <c r="AI141" i="1"/>
  <c r="AQ141" i="1" s="1"/>
  <c r="AR141" i="1" s="1"/>
  <c r="AK444" i="1"/>
  <c r="Y233" i="1"/>
  <c r="H95" i="1"/>
  <c r="H1596" i="1" s="1"/>
  <c r="R616" i="1"/>
  <c r="R1604" i="1" s="1"/>
  <c r="Y540" i="1"/>
  <c r="AO264" i="1"/>
  <c r="Z160" i="1"/>
  <c r="Z128" i="1"/>
  <c r="E95" i="1"/>
  <c r="AP1246" i="1"/>
  <c r="AN1159" i="1"/>
  <c r="AP1159" i="1" s="1"/>
  <c r="AS1158" i="1" s="1"/>
  <c r="Z1158" i="1"/>
  <c r="U1507" i="1"/>
  <c r="U1624" i="1" s="1"/>
  <c r="H1161" i="1"/>
  <c r="H1614" i="1" s="1"/>
  <c r="Y1614" i="1" s="1"/>
  <c r="AB1101" i="1"/>
  <c r="AB1612" i="1" s="1"/>
  <c r="Y775" i="1"/>
  <c r="L453" i="1"/>
  <c r="L1602" i="1" s="1"/>
  <c r="I162" i="1"/>
  <c r="I1598" i="1" s="1"/>
  <c r="AI748" i="1"/>
  <c r="AQ748" i="1" s="1"/>
  <c r="AR748" i="1" s="1"/>
  <c r="J1416" i="1"/>
  <c r="J1620" i="1" s="1"/>
  <c r="AK980" i="1"/>
  <c r="AB162" i="1"/>
  <c r="AB1598" i="1" s="1"/>
  <c r="AK83" i="1"/>
  <c r="AS82" i="1" s="1"/>
  <c r="AN86" i="1"/>
  <c r="AP86" i="1" s="1"/>
  <c r="AQ1350" i="1"/>
  <c r="AR1350" i="1" s="1"/>
  <c r="AK1350" i="1"/>
  <c r="AS1349" i="1" s="1"/>
  <c r="AO1269" i="1"/>
  <c r="S883" i="1"/>
  <c r="S1608" i="1" s="1"/>
  <c r="F987" i="1"/>
  <c r="F1610" i="1" s="1"/>
  <c r="AO1352" i="1"/>
  <c r="Z918" i="1"/>
  <c r="Z924" i="1" s="1"/>
  <c r="AI735" i="1"/>
  <c r="AK735" i="1" s="1"/>
  <c r="AA616" i="1"/>
  <c r="AA1604" i="1" s="1"/>
  <c r="AS153" i="1"/>
  <c r="R1416" i="1"/>
  <c r="R1620" i="1" s="1"/>
  <c r="Z1378" i="1"/>
  <c r="K1270" i="1"/>
  <c r="K1616" i="1" s="1"/>
  <c r="O1270" i="1"/>
  <c r="O1616" i="1" s="1"/>
  <c r="AQ1444" i="1"/>
  <c r="AR1444" i="1" s="1"/>
  <c r="N1454" i="1"/>
  <c r="N1622" i="1" s="1"/>
  <c r="AP1241" i="1"/>
  <c r="E1353" i="1"/>
  <c r="E1618" i="1" s="1"/>
  <c r="Z1003" i="1"/>
  <c r="V987" i="1"/>
  <c r="V1610" i="1" s="1"/>
  <c r="F1536" i="1"/>
  <c r="F1574" i="1" s="1"/>
  <c r="L1416" i="1"/>
  <c r="L1620" i="1" s="1"/>
  <c r="F1537" i="1"/>
  <c r="AS1097" i="1"/>
  <c r="K883" i="1"/>
  <c r="K1608" i="1" s="1"/>
  <c r="N752" i="1"/>
  <c r="N1606" i="1" s="1"/>
  <c r="AI602" i="1"/>
  <c r="AI601" i="1"/>
  <c r="H162" i="1"/>
  <c r="H1598" i="1" s="1"/>
  <c r="U752" i="1"/>
  <c r="U1606" i="1" s="1"/>
  <c r="K616" i="1"/>
  <c r="K1604" i="1" s="1"/>
  <c r="Z724" i="1"/>
  <c r="AJ882" i="1"/>
  <c r="AQ746" i="1"/>
  <c r="AR746" i="1" s="1"/>
  <c r="S453" i="1"/>
  <c r="S1602" i="1" s="1"/>
  <c r="J616" i="1"/>
  <c r="J1604" i="1" s="1"/>
  <c r="R162" i="1"/>
  <c r="R1598" i="1" s="1"/>
  <c r="F752" i="1"/>
  <c r="F1606" i="1" s="1"/>
  <c r="K453" i="1"/>
  <c r="K1602" i="1" s="1"/>
  <c r="K95" i="1"/>
  <c r="AP449" i="1"/>
  <c r="AL264" i="1"/>
  <c r="AI861" i="1"/>
  <c r="AK861" i="1" s="1"/>
  <c r="E1507" i="1"/>
  <c r="E1624" i="1" s="1"/>
  <c r="U1454" i="1"/>
  <c r="U1622" i="1" s="1"/>
  <c r="T1454" i="1"/>
  <c r="T1622" i="1" s="1"/>
  <c r="AB1507" i="1"/>
  <c r="AB1624" i="1" s="1"/>
  <c r="AS1411" i="1"/>
  <c r="O1507" i="1"/>
  <c r="O1624" i="1" s="1"/>
  <c r="AP1448" i="1"/>
  <c r="AI1403" i="1"/>
  <c r="AK1403" i="1" s="1"/>
  <c r="AA1416" i="1"/>
  <c r="AA1620" i="1" s="1"/>
  <c r="H1454" i="1"/>
  <c r="H1622" i="1" s="1"/>
  <c r="Y1622" i="1" s="1"/>
  <c r="AB1353" i="1"/>
  <c r="AB1618" i="1" s="1"/>
  <c r="I1353" i="1"/>
  <c r="I1618" i="1" s="1"/>
  <c r="AK1348" i="1"/>
  <c r="H1270" i="1"/>
  <c r="H1616" i="1" s="1"/>
  <c r="AB1161" i="1"/>
  <c r="AB1614" i="1" s="1"/>
  <c r="AQ1450" i="1"/>
  <c r="AR1450" i="1" s="1"/>
  <c r="V1454" i="1"/>
  <c r="V1622" i="1" s="1"/>
  <c r="AP1245" i="1"/>
  <c r="AQ1452" i="1"/>
  <c r="AR1452" i="1" s="1"/>
  <c r="X1270" i="1"/>
  <c r="X1616" i="1" s="1"/>
  <c r="AO1100" i="1"/>
  <c r="AM1100" i="1"/>
  <c r="AJ1100" i="1"/>
  <c r="AH1352" i="1"/>
  <c r="Z1186" i="1"/>
  <c r="Y1413" i="1"/>
  <c r="Y1416" i="1" s="1"/>
  <c r="J1270" i="1"/>
  <c r="J1616" i="1" s="1"/>
  <c r="AN1091" i="1"/>
  <c r="AY1561" i="1"/>
  <c r="P1101" i="1"/>
  <c r="P1612" i="1" s="1"/>
  <c r="Z935" i="1"/>
  <c r="E883" i="1"/>
  <c r="E1608" i="1" s="1"/>
  <c r="J883" i="1"/>
  <c r="J1608" i="1" s="1"/>
  <c r="F1538" i="1"/>
  <c r="Z564" i="1"/>
  <c r="Z575" i="1" s="1"/>
  <c r="Z1069" i="1"/>
  <c r="V1101" i="1"/>
  <c r="V1612" i="1" s="1"/>
  <c r="AF751" i="1"/>
  <c r="AN602" i="1"/>
  <c r="AP602" i="1" s="1"/>
  <c r="Z775" i="1"/>
  <c r="Z648" i="1"/>
  <c r="AQ1098" i="1"/>
  <c r="AR1098" i="1" s="1"/>
  <c r="Z871" i="1"/>
  <c r="AQ1158" i="1"/>
  <c r="AR1158" i="1" s="1"/>
  <c r="U883" i="1"/>
  <c r="U1608" i="1" s="1"/>
  <c r="AA752" i="1"/>
  <c r="AA1606" i="1" s="1"/>
  <c r="AI737" i="1"/>
  <c r="AK737" i="1" s="1"/>
  <c r="AS736" i="1" s="1"/>
  <c r="H453" i="1"/>
  <c r="H1602" i="1" s="1"/>
  <c r="F265" i="1"/>
  <c r="F1600" i="1" s="1"/>
  <c r="AQ980" i="1"/>
  <c r="AR980" i="1" s="1"/>
  <c r="T616" i="1"/>
  <c r="T1604" i="1" s="1"/>
  <c r="E453" i="1"/>
  <c r="E1602" i="1" s="1"/>
  <c r="Z589" i="1"/>
  <c r="Z596" i="1" s="1"/>
  <c r="AS1451" i="1"/>
  <c r="AS745" i="1"/>
  <c r="U616" i="1"/>
  <c r="U1604" i="1" s="1"/>
  <c r="F453" i="1"/>
  <c r="F1602" i="1" s="1"/>
  <c r="Z350" i="1"/>
  <c r="AN448" i="1"/>
  <c r="AP448" i="1" s="1"/>
  <c r="F1543" i="1"/>
  <c r="I265" i="1"/>
  <c r="I1600" i="1" s="1"/>
  <c r="D265" i="1"/>
  <c r="D1600" i="1" s="1"/>
  <c r="K162" i="1"/>
  <c r="K1598" i="1" s="1"/>
  <c r="V95" i="1"/>
  <c r="O95" i="1"/>
  <c r="F1544" i="1"/>
  <c r="AO94" i="1"/>
  <c r="T265" i="1"/>
  <c r="T1600" i="1" s="1"/>
  <c r="Z1011" i="1"/>
  <c r="J752" i="1"/>
  <c r="J1606" i="1" s="1"/>
  <c r="AB616" i="1"/>
  <c r="AB1604" i="1" s="1"/>
  <c r="O453" i="1"/>
  <c r="O1602" i="1" s="1"/>
  <c r="Z287" i="1"/>
  <c r="AA263" i="1"/>
  <c r="AA265" i="1" s="1"/>
  <c r="AA1600" i="1" s="1"/>
  <c r="AB265" i="1"/>
  <c r="AB1600" i="1" s="1"/>
  <c r="N265" i="1"/>
  <c r="N1600" i="1" s="1"/>
  <c r="AA162" i="1"/>
  <c r="AA1598" i="1" s="1"/>
  <c r="T95" i="1"/>
  <c r="T1596" i="1" s="1"/>
  <c r="J95" i="1"/>
  <c r="J1596" i="1" s="1"/>
  <c r="AB95" i="1"/>
  <c r="AB1596" i="1" s="1"/>
  <c r="U453" i="1"/>
  <c r="U1602" i="1" s="1"/>
  <c r="AP85" i="1"/>
  <c r="AS158" i="1"/>
  <c r="AN436" i="1"/>
  <c r="AP436" i="1" s="1"/>
  <c r="AQ147" i="1"/>
  <c r="AR147" i="1" s="1"/>
  <c r="AK262" i="1"/>
  <c r="AS261" i="1" s="1"/>
  <c r="AQ145" i="1"/>
  <c r="AR145" i="1" s="1"/>
  <c r="AN975" i="1"/>
  <c r="AP975" i="1" s="1"/>
  <c r="T1161" i="1"/>
  <c r="T1614" i="1" s="1"/>
  <c r="AA1161" i="1"/>
  <c r="AA1614" i="1" s="1"/>
  <c r="AI606" i="1"/>
  <c r="AQ606" i="1" s="1"/>
  <c r="AR606" i="1" s="1"/>
  <c r="AN255" i="1"/>
  <c r="AQ255" i="1" s="1"/>
  <c r="AR255" i="1" s="1"/>
  <c r="AP261" i="1"/>
  <c r="N987" i="1"/>
  <c r="N1610" i="1" s="1"/>
  <c r="P752" i="1"/>
  <c r="P1606" i="1" s="1"/>
  <c r="AS737" i="1"/>
  <c r="AJ264" i="1"/>
  <c r="Z108" i="1"/>
  <c r="Y108" i="1"/>
  <c r="P1454" i="1"/>
  <c r="P1622" i="1" s="1"/>
  <c r="P1270" i="1"/>
  <c r="P1616" i="1" s="1"/>
  <c r="H1416" i="1"/>
  <c r="H1620" i="1" s="1"/>
  <c r="Y1620" i="1" s="1"/>
  <c r="F1270" i="1"/>
  <c r="F1616" i="1" s="1"/>
  <c r="AI1154" i="1"/>
  <c r="AQ1154" i="1" s="1"/>
  <c r="AR1154" i="1" s="1"/>
  <c r="N1101" i="1"/>
  <c r="N1612" i="1" s="1"/>
  <c r="Y833" i="1"/>
  <c r="AB752" i="1"/>
  <c r="AB1606" i="1" s="1"/>
  <c r="K752" i="1"/>
  <c r="K1606" i="1" s="1"/>
  <c r="L987" i="1"/>
  <c r="L1610" i="1" s="1"/>
  <c r="Z847" i="1"/>
  <c r="T752" i="1"/>
  <c r="T1606" i="1" s="1"/>
  <c r="S987" i="1"/>
  <c r="S1610" i="1" s="1"/>
  <c r="Z715" i="1"/>
  <c r="AO986" i="1"/>
  <c r="E987" i="1"/>
  <c r="E1610" i="1" s="1"/>
  <c r="N616" i="1"/>
  <c r="N1604" i="1" s="1"/>
  <c r="AJ452" i="1"/>
  <c r="T453" i="1"/>
  <c r="T1602" i="1" s="1"/>
  <c r="P453" i="1"/>
  <c r="P1602" i="1" s="1"/>
  <c r="AI598" i="1"/>
  <c r="AK598" i="1" s="1"/>
  <c r="X453" i="1"/>
  <c r="X1602" i="1" s="1"/>
  <c r="AI437" i="1"/>
  <c r="AQ437" i="1" s="1"/>
  <c r="AR437" i="1" s="1"/>
  <c r="V453" i="1"/>
  <c r="V1602" i="1" s="1"/>
  <c r="V616" i="1"/>
  <c r="V1604" i="1" s="1"/>
  <c r="AG161" i="1"/>
  <c r="U1161" i="1"/>
  <c r="U1614" i="1" s="1"/>
  <c r="F1507" i="1"/>
  <c r="F1624" i="1" s="1"/>
  <c r="AA1507" i="1"/>
  <c r="AA1624" i="1" s="1"/>
  <c r="T1507" i="1"/>
  <c r="T1624" i="1" s="1"/>
  <c r="X1507" i="1"/>
  <c r="X1624" i="1" s="1"/>
  <c r="AM1453" i="1"/>
  <c r="P1507" i="1"/>
  <c r="P1624" i="1" s="1"/>
  <c r="AQ1412" i="1"/>
  <c r="AR1412" i="1" s="1"/>
  <c r="I1454" i="1"/>
  <c r="I1622" i="1" s="1"/>
  <c r="AI1351" i="1"/>
  <c r="AQ1351" i="1" s="1"/>
  <c r="AR1351" i="1" s="1"/>
  <c r="AJ1352" i="1"/>
  <c r="F1353" i="1"/>
  <c r="F1618" i="1" s="1"/>
  <c r="T1416" i="1"/>
  <c r="T1620" i="1" s="1"/>
  <c r="AB1270" i="1"/>
  <c r="AB1616" i="1" s="1"/>
  <c r="I1270" i="1"/>
  <c r="I1616" i="1" s="1"/>
  <c r="V1161" i="1"/>
  <c r="V1614" i="1" s="1"/>
  <c r="J1161" i="1"/>
  <c r="J1614" i="1" s="1"/>
  <c r="AJ1160" i="1"/>
  <c r="D1353" i="1"/>
  <c r="D1618" i="1" s="1"/>
  <c r="E1161" i="1"/>
  <c r="E1614" i="1" s="1"/>
  <c r="E1270" i="1"/>
  <c r="E1616" i="1" s="1"/>
  <c r="V1270" i="1"/>
  <c r="V1616" i="1" s="1"/>
  <c r="F1161" i="1"/>
  <c r="F1614" i="1" s="1"/>
  <c r="O1161" i="1"/>
  <c r="O1614" i="1" s="1"/>
  <c r="AI1153" i="1"/>
  <c r="AK1153" i="1" s="1"/>
  <c r="Z1413" i="1"/>
  <c r="S1270" i="1"/>
  <c r="S1616" i="1" s="1"/>
  <c r="AM1160" i="1"/>
  <c r="Z1081" i="1"/>
  <c r="Z1116" i="1"/>
  <c r="Z1323" i="1"/>
  <c r="T1353" i="1"/>
  <c r="T1618" i="1" s="1"/>
  <c r="AN1094" i="1"/>
  <c r="AP1094" i="1" s="1"/>
  <c r="H883" i="1"/>
  <c r="H1608" i="1" s="1"/>
  <c r="D1416" i="1"/>
  <c r="D1620" i="1" s="1"/>
  <c r="L1101" i="1"/>
  <c r="L1612" i="1" s="1"/>
  <c r="Y981" i="1"/>
  <c r="J987" i="1"/>
  <c r="J1610" i="1" s="1"/>
  <c r="F883" i="1"/>
  <c r="F1608" i="1" s="1"/>
  <c r="U1101" i="1"/>
  <c r="U1612" i="1" s="1"/>
  <c r="K1101" i="1"/>
  <c r="K1612" i="1" s="1"/>
  <c r="F1540" i="1"/>
  <c r="AM882" i="1"/>
  <c r="AH751" i="1"/>
  <c r="P1416" i="1"/>
  <c r="P1620" i="1" s="1"/>
  <c r="S1454" i="1"/>
  <c r="S1622" i="1" s="1"/>
  <c r="K987" i="1"/>
  <c r="K1610" i="1" s="1"/>
  <c r="L752" i="1"/>
  <c r="L1606" i="1" s="1"/>
  <c r="AI599" i="1"/>
  <c r="AK599" i="1" s="1"/>
  <c r="AH986" i="1"/>
  <c r="Y605" i="1"/>
  <c r="O987" i="1"/>
  <c r="O1610" i="1" s="1"/>
  <c r="O1611" i="1" s="1"/>
  <c r="AI862" i="1"/>
  <c r="AK862" i="1" s="1"/>
  <c r="AS861" i="1" s="1"/>
  <c r="AI729" i="1"/>
  <c r="AQ729" i="1" s="1"/>
  <c r="S616" i="1"/>
  <c r="S1604" i="1" s="1"/>
  <c r="AN614" i="1"/>
  <c r="AP614" i="1" s="1"/>
  <c r="AI1240" i="1"/>
  <c r="AI865" i="1"/>
  <c r="AK865" i="1" s="1"/>
  <c r="I616" i="1"/>
  <c r="I1604" i="1" s="1"/>
  <c r="I453" i="1"/>
  <c r="I1602" i="1" s="1"/>
  <c r="AN440" i="1"/>
  <c r="AP440" i="1" s="1"/>
  <c r="O162" i="1"/>
  <c r="O1598" i="1" s="1"/>
  <c r="AM161" i="1"/>
  <c r="AA95" i="1"/>
  <c r="AA1596" i="1" s="1"/>
  <c r="I95" i="1"/>
  <c r="I1596" i="1" s="1"/>
  <c r="Y1011" i="1"/>
  <c r="X95" i="1"/>
  <c r="X1596" i="1" s="1"/>
  <c r="AM94" i="1"/>
  <c r="Y361" i="1"/>
  <c r="Z1047" i="1"/>
  <c r="Z1052" i="1" s="1"/>
  <c r="R453" i="1"/>
  <c r="R1602" i="1" s="1"/>
  <c r="AS604" i="1"/>
  <c r="AH264" i="1"/>
  <c r="F1547" i="1" s="1"/>
  <c r="J265" i="1"/>
  <c r="J1600" i="1" s="1"/>
  <c r="D95" i="1"/>
  <c r="D1596" i="1" s="1"/>
  <c r="N95" i="1"/>
  <c r="N1596" i="1" s="1"/>
  <c r="Z529" i="1"/>
  <c r="Z540" i="1" s="1"/>
  <c r="F616" i="1"/>
  <c r="F1604" i="1" s="1"/>
  <c r="AP141" i="1"/>
  <c r="L95" i="1"/>
  <c r="L1596" i="1" s="1"/>
  <c r="Z516" i="1"/>
  <c r="Z525" i="1" s="1"/>
  <c r="Z184" i="1"/>
  <c r="Z201" i="1" s="1"/>
  <c r="E1543" i="1"/>
  <c r="Z905" i="1"/>
  <c r="AS726" i="1"/>
  <c r="Z414" i="1"/>
  <c r="K1454" i="1"/>
  <c r="K1622" i="1" s="1"/>
  <c r="AI1155" i="1"/>
  <c r="AN867" i="1"/>
  <c r="AP867" i="1" s="1"/>
  <c r="AI443" i="1"/>
  <c r="AQ443" i="1" s="1"/>
  <c r="AR443" i="1" s="1"/>
  <c r="AI261" i="1"/>
  <c r="P1596" i="1"/>
  <c r="P1626" i="1" s="1"/>
  <c r="P1628" i="1" s="1"/>
  <c r="AK141" i="1"/>
  <c r="AK1449" i="1"/>
  <c r="AQ1347" i="1"/>
  <c r="AR1347" i="1" s="1"/>
  <c r="AK1347" i="1"/>
  <c r="AS1346" i="1" s="1"/>
  <c r="AQ870" i="1"/>
  <c r="AR870" i="1" s="1"/>
  <c r="AK870" i="1"/>
  <c r="AQ153" i="1"/>
  <c r="AR153" i="1" s="1"/>
  <c r="AK153" i="1"/>
  <c r="AS150" i="1" s="1"/>
  <c r="AP256" i="1"/>
  <c r="AS255" i="1" s="1"/>
  <c r="AQ256" i="1"/>
  <c r="AQ1247" i="1"/>
  <c r="AR1247" i="1" s="1"/>
  <c r="AK1247" i="1"/>
  <c r="AS1246" i="1" s="1"/>
  <c r="O1596" i="1"/>
  <c r="AQ263" i="1"/>
  <c r="AR263" i="1" s="1"/>
  <c r="AQ749" i="1"/>
  <c r="AR749" i="1" s="1"/>
  <c r="AK749" i="1"/>
  <c r="AS748" i="1" s="1"/>
  <c r="AS1449" i="1"/>
  <c r="AF1352" i="1"/>
  <c r="AQ1447" i="1"/>
  <c r="AR1447" i="1" s="1"/>
  <c r="AK1447" i="1"/>
  <c r="AS1446" i="1" s="1"/>
  <c r="AQ1268" i="1"/>
  <c r="AR1268" i="1" s="1"/>
  <c r="AK1268" i="1"/>
  <c r="AS1267" i="1" s="1"/>
  <c r="AR1451" i="1"/>
  <c r="AS1450" i="1"/>
  <c r="AK1409" i="1"/>
  <c r="AQ1409" i="1"/>
  <c r="AR1409" i="1" s="1"/>
  <c r="AK1151" i="1"/>
  <c r="AQ1151" i="1"/>
  <c r="AN1089" i="1"/>
  <c r="AL1100" i="1"/>
  <c r="Z908" i="1"/>
  <c r="Z915" i="1" s="1"/>
  <c r="Y915" i="1"/>
  <c r="AQ1493" i="1"/>
  <c r="AR1493" i="1" s="1"/>
  <c r="AK1493" i="1"/>
  <c r="Z1189" i="1"/>
  <c r="Z1199" i="1" s="1"/>
  <c r="Y1199" i="1"/>
  <c r="AK868" i="1"/>
  <c r="AK733" i="1"/>
  <c r="AK1445" i="1"/>
  <c r="AQ881" i="1"/>
  <c r="AR881" i="1" s="1"/>
  <c r="AK881" i="1"/>
  <c r="AS880" i="1" s="1"/>
  <c r="AK729" i="1"/>
  <c r="AS727" i="1" s="1"/>
  <c r="Z10" i="1"/>
  <c r="Z17" i="1" s="1"/>
  <c r="Y17" i="1"/>
  <c r="AQ973" i="1"/>
  <c r="AR973" i="1" s="1"/>
  <c r="AK973" i="1"/>
  <c r="AS971" i="1" s="1"/>
  <c r="AK977" i="1"/>
  <c r="AL452" i="1"/>
  <c r="AN429" i="1"/>
  <c r="AO429" i="1" s="1"/>
  <c r="AO435" i="1"/>
  <c r="AK726" i="1"/>
  <c r="AQ726" i="1"/>
  <c r="AK872" i="1"/>
  <c r="AS871" i="1" s="1"/>
  <c r="AQ872" i="1"/>
  <c r="AR872" i="1" s="1"/>
  <c r="Z329" i="1"/>
  <c r="Z339" i="1" s="1"/>
  <c r="Y339" i="1"/>
  <c r="Z418" i="1"/>
  <c r="Z423" i="1" s="1"/>
  <c r="Y423" i="1"/>
  <c r="AQ143" i="1"/>
  <c r="AR143" i="1" s="1"/>
  <c r="AK143" i="1"/>
  <c r="AS142" i="1" s="1"/>
  <c r="AQ90" i="1"/>
  <c r="AR90" i="1" s="1"/>
  <c r="AK90" i="1"/>
  <c r="AI1453" i="1"/>
  <c r="AK1443" i="1"/>
  <c r="AQ1443" i="1"/>
  <c r="AK1241" i="1"/>
  <c r="AS1240" i="1" s="1"/>
  <c r="AQ1241" i="1"/>
  <c r="AR1241" i="1" s="1"/>
  <c r="Z1036" i="1"/>
  <c r="Z1044" i="1" s="1"/>
  <c r="Y1044" i="1"/>
  <c r="AP1443" i="1"/>
  <c r="AP860" i="1"/>
  <c r="AK743" i="1"/>
  <c r="AS739" i="1" s="1"/>
  <c r="AQ743" i="1"/>
  <c r="AR743" i="1" s="1"/>
  <c r="AQ982" i="1"/>
  <c r="AR982" i="1" s="1"/>
  <c r="AK982" i="1"/>
  <c r="AS981" i="1" s="1"/>
  <c r="V1596" i="1"/>
  <c r="AK860" i="1"/>
  <c r="AQ860" i="1"/>
  <c r="AK440" i="1"/>
  <c r="AS439" i="1" s="1"/>
  <c r="AQ253" i="1"/>
  <c r="AR253" i="1" s="1"/>
  <c r="E1596" i="1"/>
  <c r="AQ86" i="1"/>
  <c r="AR86" i="1" s="1"/>
  <c r="AK86" i="1"/>
  <c r="AK1492" i="1"/>
  <c r="AI1507" i="1"/>
  <c r="Y1451" i="1"/>
  <c r="Y1454" i="1" s="1"/>
  <c r="Z1445" i="1"/>
  <c r="Z1451" i="1" s="1"/>
  <c r="AL1507" i="1"/>
  <c r="AN1492" i="1"/>
  <c r="AK1343" i="1"/>
  <c r="Y1175" i="1"/>
  <c r="Z1166" i="1"/>
  <c r="Z1175" i="1" s="1"/>
  <c r="AQ1152" i="1"/>
  <c r="AR1152" i="1" s="1"/>
  <c r="AK1152" i="1"/>
  <c r="AS1151" i="1" s="1"/>
  <c r="AK1503" i="1"/>
  <c r="AS1502" i="1" s="1"/>
  <c r="AQ1503" i="1"/>
  <c r="AR1503" i="1" s="1"/>
  <c r="AS1400" i="1"/>
  <c r="AF1269" i="1"/>
  <c r="AK1501" i="1"/>
  <c r="AQ970" i="1"/>
  <c r="AK970" i="1"/>
  <c r="AK1090" i="1"/>
  <c r="AK871" i="1"/>
  <c r="AQ732" i="1"/>
  <c r="AR732" i="1" s="1"/>
  <c r="AK732" i="1"/>
  <c r="AS729" i="1" s="1"/>
  <c r="AQ739" i="1"/>
  <c r="AR739" i="1" s="1"/>
  <c r="AK739" i="1"/>
  <c r="Y142" i="1"/>
  <c r="Z131" i="1"/>
  <c r="Z142" i="1" s="1"/>
  <c r="AF615" i="1"/>
  <c r="Y1505" i="1"/>
  <c r="Y1507" i="1" s="1"/>
  <c r="Z1494" i="1"/>
  <c r="Z1505" i="1" s="1"/>
  <c r="Y1268" i="1"/>
  <c r="Z1260" i="1"/>
  <c r="Z1268" i="1" s="1"/>
  <c r="AK747" i="1"/>
  <c r="AS746" i="1" s="1"/>
  <c r="AQ747" i="1"/>
  <c r="AR747" i="1" s="1"/>
  <c r="AQ603" i="1"/>
  <c r="AR603" i="1" s="1"/>
  <c r="AK603" i="1"/>
  <c r="AS602" i="1" s="1"/>
  <c r="Z443" i="1"/>
  <c r="Z451" i="1" s="1"/>
  <c r="Y451" i="1"/>
  <c r="AK1092" i="1"/>
  <c r="Y614" i="1"/>
  <c r="Z607" i="1"/>
  <c r="Z614" i="1" s="1"/>
  <c r="AQ445" i="1"/>
  <c r="AK445" i="1"/>
  <c r="AS444" i="1" s="1"/>
  <c r="AK448" i="1"/>
  <c r="AQ439" i="1"/>
  <c r="AR439" i="1" s="1"/>
  <c r="AK439" i="1"/>
  <c r="AM264" i="1"/>
  <c r="AN250" i="1"/>
  <c r="AS91" i="1"/>
  <c r="E1536" i="1"/>
  <c r="E1574" i="1" s="1"/>
  <c r="AI82" i="1"/>
  <c r="AK142" i="1"/>
  <c r="AQ142" i="1"/>
  <c r="AR142" i="1" s="1"/>
  <c r="E1540" i="1"/>
  <c r="AI85" i="1"/>
  <c r="AK435" i="1"/>
  <c r="AQ438" i="1"/>
  <c r="AK438" i="1"/>
  <c r="Y484" i="1"/>
  <c r="Z475" i="1"/>
  <c r="Z484" i="1" s="1"/>
  <c r="AR438" i="1"/>
  <c r="AQ600" i="1"/>
  <c r="AR600" i="1" s="1"/>
  <c r="AK600" i="1"/>
  <c r="AM452" i="1"/>
  <c r="AK255" i="1"/>
  <c r="AK88" i="1"/>
  <c r="AQ88" i="1"/>
  <c r="AR88" i="1" s="1"/>
  <c r="AQ449" i="1"/>
  <c r="AR449" i="1" s="1"/>
  <c r="AK449" i="1"/>
  <c r="Y1224" i="1"/>
  <c r="Z1210" i="1"/>
  <c r="Z1224" i="1" s="1"/>
  <c r="AK252" i="1"/>
  <c r="AS251" i="1" s="1"/>
  <c r="AQ252" i="1"/>
  <c r="AR252" i="1" s="1"/>
  <c r="AK87" i="1"/>
  <c r="AQ258" i="1"/>
  <c r="AR258" i="1" s="1"/>
  <c r="AN1497" i="1"/>
  <c r="AP1497" i="1" s="1"/>
  <c r="AH1453" i="1"/>
  <c r="AH1269" i="1"/>
  <c r="F1549" i="1" s="1"/>
  <c r="Z981" i="1"/>
  <c r="AA1101" i="1"/>
  <c r="AA1612" i="1" s="1"/>
  <c r="AN1445" i="1"/>
  <c r="AP1445" i="1" s="1"/>
  <c r="AS1444" i="1" s="1"/>
  <c r="Z1401" i="1"/>
  <c r="L883" i="1"/>
  <c r="L1608" i="1" s="1"/>
  <c r="AN87" i="1"/>
  <c r="AP87" i="1" s="1"/>
  <c r="Z499" i="1"/>
  <c r="D453" i="1"/>
  <c r="D1602" i="1" s="1"/>
  <c r="Z357" i="1"/>
  <c r="Z361" i="1" s="1"/>
  <c r="AP255" i="1"/>
  <c r="AQ159" i="1"/>
  <c r="AR159" i="1" s="1"/>
  <c r="AN1449" i="1"/>
  <c r="AP1449" i="1" s="1"/>
  <c r="Z1491" i="1"/>
  <c r="D1270" i="1"/>
  <c r="D1616" i="1" s="1"/>
  <c r="AM1352" i="1"/>
  <c r="P1353" i="1"/>
  <c r="P1618" i="1" s="1"/>
  <c r="AG986" i="1"/>
  <c r="X752" i="1"/>
  <c r="X1606" i="1" s="1"/>
  <c r="Z1141" i="1"/>
  <c r="Z1149" i="1" s="1"/>
  <c r="AP88" i="1"/>
  <c r="H616" i="1"/>
  <c r="H1604" i="1" s="1"/>
  <c r="Y1604" i="1" s="1"/>
  <c r="Y1003" i="1"/>
  <c r="Y181" i="1"/>
  <c r="Y265" i="1" s="1"/>
  <c r="L162" i="1"/>
  <c r="Z326" i="1"/>
  <c r="Z881" i="1"/>
  <c r="AI250" i="1"/>
  <c r="AP82" i="1"/>
  <c r="AN161" i="1"/>
  <c r="L1507" i="1"/>
  <c r="L1624" i="1" s="1"/>
  <c r="Z1574" i="1"/>
  <c r="Z1472" i="1"/>
  <c r="Z1479" i="1" s="1"/>
  <c r="H1507" i="1"/>
  <c r="H1624" i="1" s="1"/>
  <c r="Y1624" i="1" s="1"/>
  <c r="AG1414" i="1"/>
  <c r="L1270" i="1"/>
  <c r="L1616" i="1" s="1"/>
  <c r="Z1237" i="1"/>
  <c r="Z1291" i="1"/>
  <c r="Z1303" i="1" s="1"/>
  <c r="N1270" i="1"/>
  <c r="N1616" i="1" s="1"/>
  <c r="AL1269" i="1"/>
  <c r="H1353" i="1"/>
  <c r="H1618" i="1" s="1"/>
  <c r="Y1618" i="1" s="1"/>
  <c r="Z1248" i="1"/>
  <c r="Z1422" i="1"/>
  <c r="Z1432" i="1" s="1"/>
  <c r="AI1341" i="1"/>
  <c r="AP1351" i="1"/>
  <c r="AI1093" i="1"/>
  <c r="P987" i="1"/>
  <c r="P1610" i="1" s="1"/>
  <c r="Y798" i="1"/>
  <c r="R883" i="1"/>
  <c r="R1608" i="1" s="1"/>
  <c r="AN736" i="1"/>
  <c r="AP736" i="1" s="1"/>
  <c r="AQ1410" i="1"/>
  <c r="AR1410" i="1" s="1"/>
  <c r="R1101" i="1"/>
  <c r="R1612" i="1" s="1"/>
  <c r="Y1069" i="1"/>
  <c r="D987" i="1"/>
  <c r="D1610" i="1" s="1"/>
  <c r="AL1453" i="1"/>
  <c r="V1353" i="1"/>
  <c r="V1618" i="1" s="1"/>
  <c r="AI974" i="1"/>
  <c r="AM615" i="1"/>
  <c r="Z1315" i="1"/>
  <c r="Z894" i="1"/>
  <c r="Y820" i="1"/>
  <c r="D883" i="1"/>
  <c r="D1608" i="1" s="1"/>
  <c r="AQ738" i="1"/>
  <c r="AR738" i="1" s="1"/>
  <c r="D752" i="1"/>
  <c r="D1606" i="1" s="1"/>
  <c r="O616" i="1"/>
  <c r="O1604" i="1" s="1"/>
  <c r="Z813" i="1"/>
  <c r="Z820" i="1" s="1"/>
  <c r="Z599" i="1"/>
  <c r="Z605" i="1" s="1"/>
  <c r="Z586" i="1"/>
  <c r="D616" i="1"/>
  <c r="D1604" i="1" s="1"/>
  <c r="E616" i="1"/>
  <c r="E1604" i="1" s="1"/>
  <c r="Z372" i="1"/>
  <c r="Z380" i="1" s="1"/>
  <c r="AN435" i="1"/>
  <c r="AQ435" i="1" s="1"/>
  <c r="AR435" i="1" s="1"/>
  <c r="E1537" i="1"/>
  <c r="AN1092" i="1"/>
  <c r="AP1092" i="1" s="1"/>
  <c r="AO882" i="1"/>
  <c r="Z549" i="1"/>
  <c r="AH882" i="1"/>
  <c r="F1548" i="1" s="1"/>
  <c r="Z552" i="1"/>
  <c r="Z561" i="1" s="1"/>
  <c r="H265" i="1"/>
  <c r="H1600" i="1" s="1"/>
  <c r="Y1600" i="1" s="1"/>
  <c r="Z25" i="1"/>
  <c r="AQ745" i="1"/>
  <c r="AR745" i="1" s="1"/>
  <c r="AN596" i="1"/>
  <c r="AI1245" i="1"/>
  <c r="AQ444" i="1"/>
  <c r="AR444" i="1" s="1"/>
  <c r="AG264" i="1"/>
  <c r="E1547" i="1" s="1"/>
  <c r="AQ157" i="1"/>
  <c r="AR157" i="1" s="1"/>
  <c r="AF452" i="1"/>
  <c r="AS1492" i="1"/>
  <c r="AK1448" i="1"/>
  <c r="AQ1448" i="1"/>
  <c r="AR1448" i="1" s="1"/>
  <c r="Z1084" i="1"/>
  <c r="Z1089" i="1" s="1"/>
  <c r="Y1089" i="1"/>
  <c r="AQ1411" i="1"/>
  <c r="AR1411" i="1" s="1"/>
  <c r="AK1411" i="1"/>
  <c r="AS1410" i="1" s="1"/>
  <c r="Y1124" i="1"/>
  <c r="Y1161" i="1" s="1"/>
  <c r="Z1119" i="1"/>
  <c r="Z1124" i="1" s="1"/>
  <c r="Y1286" i="1"/>
  <c r="Z1275" i="1"/>
  <c r="Z1286" i="1" s="1"/>
  <c r="AK1246" i="1"/>
  <c r="AS1245" i="1" s="1"/>
  <c r="AQ1246" i="1"/>
  <c r="AR1246" i="1" s="1"/>
  <c r="AK975" i="1"/>
  <c r="AK736" i="1"/>
  <c r="X809" i="1"/>
  <c r="X883" i="1" s="1"/>
  <c r="X1608" i="1" s="1"/>
  <c r="Y809" i="1"/>
  <c r="Z809" i="1" s="1"/>
  <c r="AK869" i="1"/>
  <c r="AQ1097" i="1"/>
  <c r="AR1097" i="1" s="1"/>
  <c r="AK1097" i="1"/>
  <c r="AS1094" i="1" s="1"/>
  <c r="AL751" i="1"/>
  <c r="AN726" i="1"/>
  <c r="AQ1239" i="1"/>
  <c r="AR1239" i="1" s="1"/>
  <c r="AK1239" i="1"/>
  <c r="AQ879" i="1"/>
  <c r="AR879" i="1" s="1"/>
  <c r="AK879" i="1"/>
  <c r="AS876" i="1" s="1"/>
  <c r="Y80" i="1"/>
  <c r="Z58" i="1"/>
  <c r="Z80" i="1" s="1"/>
  <c r="AF264" i="1"/>
  <c r="U1596" i="1"/>
  <c r="AS979" i="1"/>
  <c r="K1596" i="1"/>
  <c r="D1630" i="1"/>
  <c r="R1630" i="1" s="1"/>
  <c r="D1577" i="1"/>
  <c r="R1577" i="1" s="1"/>
  <c r="Y119" i="1"/>
  <c r="Z111" i="1"/>
  <c r="Z119" i="1" s="1"/>
  <c r="AK607" i="1"/>
  <c r="Y1351" i="1"/>
  <c r="Z1345" i="1"/>
  <c r="Z1351" i="1" s="1"/>
  <c r="AF1160" i="1"/>
  <c r="AR1266" i="1"/>
  <c r="AS1263" i="1"/>
  <c r="AL882" i="1"/>
  <c r="AN861" i="1"/>
  <c r="Y856" i="1"/>
  <c r="Z852" i="1"/>
  <c r="Z856" i="1" s="1"/>
  <c r="AS1409" i="1"/>
  <c r="AI1342" i="1"/>
  <c r="AG1352" i="1"/>
  <c r="AQ875" i="1"/>
  <c r="AR875" i="1" s="1"/>
  <c r="AK875" i="1"/>
  <c r="AS872" i="1" s="1"/>
  <c r="AQ976" i="1"/>
  <c r="AR976" i="1" s="1"/>
  <c r="AK976" i="1"/>
  <c r="AS975" i="1" s="1"/>
  <c r="AK91" i="1"/>
  <c r="AS90" i="1" s="1"/>
  <c r="AQ91" i="1"/>
  <c r="AI596" i="1"/>
  <c r="AG615" i="1"/>
  <c r="E1550" i="1" s="1"/>
  <c r="AF1507" i="1"/>
  <c r="AK1506" i="1"/>
  <c r="AS1505" i="1" s="1"/>
  <c r="AQ1506" i="1"/>
  <c r="AR1506" i="1" s="1"/>
  <c r="AL1352" i="1"/>
  <c r="AN1339" i="1"/>
  <c r="AK1157" i="1"/>
  <c r="AS1156" i="1" s="1"/>
  <c r="AQ1157" i="1"/>
  <c r="AR1157" i="1" s="1"/>
  <c r="AP1239" i="1"/>
  <c r="AG1100" i="1"/>
  <c r="AI1089" i="1"/>
  <c r="AF1100" i="1"/>
  <c r="AP1151" i="1"/>
  <c r="AK1497" i="1"/>
  <c r="AS1496" i="1" s="1"/>
  <c r="AK1340" i="1"/>
  <c r="AS1339" i="1" s="1"/>
  <c r="AQ1340" i="1"/>
  <c r="AR1340" i="1" s="1"/>
  <c r="AQ1267" i="1"/>
  <c r="AR1267" i="1" s="1"/>
  <c r="AK1267" i="1"/>
  <c r="AS1266" i="1" s="1"/>
  <c r="AQ1263" i="1"/>
  <c r="AR1263" i="1" s="1"/>
  <c r="AK1263" i="1"/>
  <c r="AS1260" i="1" s="1"/>
  <c r="AS868" i="1"/>
  <c r="Z659" i="1"/>
  <c r="Z668" i="1" s="1"/>
  <c r="Y668" i="1"/>
  <c r="AK979" i="1"/>
  <c r="AS978" i="1" s="1"/>
  <c r="AQ979" i="1"/>
  <c r="AR979" i="1" s="1"/>
  <c r="AS1401" i="1"/>
  <c r="AF1414" i="1"/>
  <c r="AI612" i="1"/>
  <c r="AS599" i="1"/>
  <c r="Y440" i="1"/>
  <c r="Z429" i="1"/>
  <c r="Z440" i="1" s="1"/>
  <c r="AK89" i="1"/>
  <c r="AR91" i="1"/>
  <c r="AR256" i="1"/>
  <c r="AQ158" i="1"/>
  <c r="AR158" i="1" s="1"/>
  <c r="AQ81" i="1"/>
  <c r="AR81" i="1" s="1"/>
  <c r="AK81" i="1"/>
  <c r="AS80" i="1" s="1"/>
  <c r="AK80" i="1"/>
  <c r="AI94" i="1"/>
  <c r="AQ80" i="1"/>
  <c r="Y738" i="1"/>
  <c r="Z727" i="1"/>
  <c r="Z738" i="1" s="1"/>
  <c r="AR445" i="1"/>
  <c r="AQ451" i="1"/>
  <c r="AR451" i="1" s="1"/>
  <c r="AK451" i="1"/>
  <c r="AS450" i="1" s="1"/>
  <c r="Z290" i="1"/>
  <c r="Z297" i="1" s="1"/>
  <c r="Y297" i="1"/>
  <c r="AN94" i="1"/>
  <c r="AP80" i="1"/>
  <c r="AP94" i="1" s="1"/>
  <c r="V1507" i="1"/>
  <c r="V1624" i="1" s="1"/>
  <c r="AG1160" i="1"/>
  <c r="D1454" i="1"/>
  <c r="D1622" i="1" s="1"/>
  <c r="U1416" i="1"/>
  <c r="U1620" i="1" s="1"/>
  <c r="H752" i="1"/>
  <c r="H1606" i="1" s="1"/>
  <c r="Y1606" i="1" s="1"/>
  <c r="AG882" i="1"/>
  <c r="E1548" i="1" s="1"/>
  <c r="Z513" i="1"/>
  <c r="Z225" i="1"/>
  <c r="Z233" i="1" s="1"/>
  <c r="Z250" i="1"/>
  <c r="Z254" i="1" s="1"/>
  <c r="E1541" i="1"/>
  <c r="AF1453" i="1"/>
  <c r="O1353" i="1"/>
  <c r="O1618" i="1" s="1"/>
  <c r="U1270" i="1"/>
  <c r="U1616" i="1" s="1"/>
  <c r="Z1130" i="1"/>
  <c r="Z1136" i="1" s="1"/>
  <c r="Z824" i="1"/>
  <c r="Z833" i="1" s="1"/>
  <c r="AN1090" i="1"/>
  <c r="AP1090" i="1" s="1"/>
  <c r="N883" i="1"/>
  <c r="N1608" i="1" s="1"/>
  <c r="AQ880" i="1"/>
  <c r="AR880" i="1" s="1"/>
  <c r="AN974" i="1"/>
  <c r="K265" i="1"/>
  <c r="K1600" i="1" s="1"/>
  <c r="Y715" i="1"/>
  <c r="AN598" i="1"/>
  <c r="AP598" i="1" s="1"/>
  <c r="AP868" i="1"/>
  <c r="AS867" i="1" s="1"/>
  <c r="P616" i="1"/>
  <c r="P1604" i="1" s="1"/>
  <c r="E265" i="1"/>
  <c r="E1600" i="1" s="1"/>
  <c r="Z167" i="1"/>
  <c r="Z181" i="1" s="1"/>
  <c r="V265" i="1"/>
  <c r="V1600" i="1" s="1"/>
  <c r="Z644" i="1"/>
  <c r="AP430" i="1"/>
  <c r="AS429" i="1" s="1"/>
  <c r="E1542" i="1"/>
  <c r="AB1574" i="1"/>
  <c r="F1454" i="1"/>
  <c r="F1622" i="1" s="1"/>
  <c r="AQ1505" i="1"/>
  <c r="AR1505" i="1" s="1"/>
  <c r="AN1153" i="1"/>
  <c r="AP1153" i="1" s="1"/>
  <c r="S1507" i="1"/>
  <c r="S1624" i="1" s="1"/>
  <c r="AO1453" i="1"/>
  <c r="AG1453" i="1"/>
  <c r="R1270" i="1"/>
  <c r="R1616" i="1" s="1"/>
  <c r="Z1093" i="1"/>
  <c r="Z1099" i="1" s="1"/>
  <c r="AP1348" i="1"/>
  <c r="D1101" i="1"/>
  <c r="D1612" i="1" s="1"/>
  <c r="AQ1348" i="1"/>
  <c r="AR1348" i="1" s="1"/>
  <c r="L1353" i="1"/>
  <c r="L1618" i="1" s="1"/>
  <c r="Z1367" i="1"/>
  <c r="H1101" i="1"/>
  <c r="H1612" i="1" s="1"/>
  <c r="AP1091" i="1"/>
  <c r="AI1091" i="1"/>
  <c r="U987" i="1"/>
  <c r="U1610" i="1" s="1"/>
  <c r="Z798" i="1"/>
  <c r="I883" i="1"/>
  <c r="I1608" i="1" s="1"/>
  <c r="O752" i="1"/>
  <c r="O1606" i="1" s="1"/>
  <c r="Y1574" i="1"/>
  <c r="AQ1099" i="1"/>
  <c r="AR1099" i="1" s="1"/>
  <c r="I1101" i="1"/>
  <c r="I1612" i="1" s="1"/>
  <c r="V883" i="1"/>
  <c r="V1608" i="1" s="1"/>
  <c r="Z656" i="1"/>
  <c r="AN733" i="1"/>
  <c r="AP733" i="1" s="1"/>
  <c r="Z1015" i="1"/>
  <c r="Z1023" i="1" s="1"/>
  <c r="Z703" i="1"/>
  <c r="Z784" i="1"/>
  <c r="AG1269" i="1"/>
  <c r="E1549" i="1" s="1"/>
  <c r="AF986" i="1"/>
  <c r="P883" i="1"/>
  <c r="P1608" i="1" s="1"/>
  <c r="Z623" i="1"/>
  <c r="Z629" i="1" s="1"/>
  <c r="Z975" i="1"/>
  <c r="AF882" i="1"/>
  <c r="AN865" i="1"/>
  <c r="AP865" i="1" s="1"/>
  <c r="T883" i="1"/>
  <c r="T1608" i="1" s="1"/>
  <c r="E752" i="1"/>
  <c r="E1606" i="1" s="1"/>
  <c r="Z401" i="1"/>
  <c r="AI978" i="1"/>
  <c r="Y975" i="1"/>
  <c r="AN1240" i="1"/>
  <c r="AP1240" i="1" s="1"/>
  <c r="Z952" i="1"/>
  <c r="Z955" i="1" s="1"/>
  <c r="F1101" i="1"/>
  <c r="F1612" i="1" s="1"/>
  <c r="O883" i="1"/>
  <c r="O1608" i="1" s="1"/>
  <c r="J453" i="1"/>
  <c r="J1602" i="1" s="1"/>
  <c r="AI442" i="1"/>
  <c r="AP90" i="1"/>
  <c r="F1541" i="1"/>
  <c r="O1101" i="1"/>
  <c r="O1612" i="1" s="1"/>
  <c r="L616" i="1"/>
  <c r="L1604" i="1" s="1"/>
  <c r="Z458" i="1"/>
  <c r="Z472" i="1" s="1"/>
  <c r="AG751" i="1"/>
  <c r="AN735" i="1"/>
  <c r="AP735" i="1" s="1"/>
  <c r="AI614" i="1"/>
  <c r="Z311" i="1"/>
  <c r="Z257" i="1"/>
  <c r="Z263" i="1" s="1"/>
  <c r="L265" i="1"/>
  <c r="L1600" i="1" s="1"/>
  <c r="F162" i="1"/>
  <c r="F1598" i="1" s="1"/>
  <c r="AA453" i="1"/>
  <c r="AA1602" i="1" s="1"/>
  <c r="D162" i="1"/>
  <c r="D1598" i="1" s="1"/>
  <c r="AH452" i="1"/>
  <c r="F1552" i="1" s="1"/>
  <c r="Z938" i="1"/>
  <c r="Z947" i="1" s="1"/>
  <c r="AO615" i="1"/>
  <c r="AL615" i="1"/>
  <c r="P265" i="1"/>
  <c r="P1600" i="1" s="1"/>
  <c r="AI867" i="1"/>
  <c r="V162" i="1"/>
  <c r="V1598" i="1" s="1"/>
  <c r="Z47" i="1"/>
  <c r="Z245" i="1"/>
  <c r="AQ430" i="1"/>
  <c r="AR430" i="1" s="1"/>
  <c r="AI140" i="1"/>
  <c r="AG452" i="1"/>
  <c r="AP142" i="1"/>
  <c r="AP161" i="1" s="1"/>
  <c r="E1538" i="1"/>
  <c r="AS437" i="1" l="1"/>
  <c r="AI751" i="1"/>
  <c r="AS443" i="1"/>
  <c r="AQ89" i="1"/>
  <c r="AR89" i="1" s="1"/>
  <c r="Z162" i="1"/>
  <c r="Z1598" i="1" s="1"/>
  <c r="AQ83" i="1"/>
  <c r="AR83" i="1" s="1"/>
  <c r="AS732" i="1"/>
  <c r="Y1616" i="1"/>
  <c r="AQ607" i="1"/>
  <c r="AR607" i="1" s="1"/>
  <c r="AS735" i="1"/>
  <c r="AQ436" i="1"/>
  <c r="AR436" i="1" s="1"/>
  <c r="Y616" i="1"/>
  <c r="AQ871" i="1"/>
  <c r="AR871" i="1" s="1"/>
  <c r="AQ1501" i="1"/>
  <c r="AR1501" i="1" s="1"/>
  <c r="AI452" i="1"/>
  <c r="AK437" i="1"/>
  <c r="AS976" i="1"/>
  <c r="AB1626" i="1"/>
  <c r="AQ601" i="1"/>
  <c r="AR601" i="1" s="1"/>
  <c r="AS733" i="1"/>
  <c r="AQ1159" i="1"/>
  <c r="AR1159" i="1" s="1"/>
  <c r="AS88" i="1"/>
  <c r="AS1447" i="1"/>
  <c r="AP1343" i="1"/>
  <c r="AS1342" i="1" s="1"/>
  <c r="AQ1445" i="1"/>
  <c r="AR1445" i="1" s="1"/>
  <c r="AS1089" i="1"/>
  <c r="U1626" i="1"/>
  <c r="AS438" i="1"/>
  <c r="AQ862" i="1"/>
  <c r="AR862" i="1" s="1"/>
  <c r="AS738" i="1"/>
  <c r="AQ977" i="1"/>
  <c r="AR977" i="1" s="1"/>
  <c r="AS869" i="1"/>
  <c r="AK606" i="1"/>
  <c r="AS605" i="1" s="1"/>
  <c r="AS448" i="1"/>
  <c r="AS1093" i="1"/>
  <c r="AP254" i="1"/>
  <c r="AS253" i="1" s="1"/>
  <c r="AS598" i="1"/>
  <c r="AP981" i="1"/>
  <c r="AS980" i="1" s="1"/>
  <c r="AQ981" i="1"/>
  <c r="AR981" i="1" s="1"/>
  <c r="AK601" i="1"/>
  <c r="AS600" i="1" s="1"/>
  <c r="Z1507" i="1"/>
  <c r="Z1624" i="1" s="1"/>
  <c r="F1545" i="1"/>
  <c r="AS870" i="1"/>
  <c r="AQ1094" i="1"/>
  <c r="AR1094" i="1" s="1"/>
  <c r="Y1612" i="1"/>
  <c r="Z1612" i="1" s="1"/>
  <c r="AS1152" i="1"/>
  <c r="AQ599" i="1"/>
  <c r="AR599" i="1" s="1"/>
  <c r="AQ1497" i="1"/>
  <c r="AR1497" i="1" s="1"/>
  <c r="AQ1403" i="1"/>
  <c r="AR1403" i="1" s="1"/>
  <c r="AR1414" i="1" s="1"/>
  <c r="Y162" i="1"/>
  <c r="AQ975" i="1"/>
  <c r="AR975" i="1" s="1"/>
  <c r="AP1403" i="1"/>
  <c r="AP1414" i="1" s="1"/>
  <c r="AS1497" i="1"/>
  <c r="AK1154" i="1"/>
  <c r="AS1153" i="1" s="1"/>
  <c r="Z1454" i="1"/>
  <c r="Z1622" i="1" s="1"/>
  <c r="AS85" i="1"/>
  <c r="AK748" i="1"/>
  <c r="AS747" i="1" s="1"/>
  <c r="AQ733" i="1"/>
  <c r="AR733" i="1" s="1"/>
  <c r="AR751" i="1" s="1"/>
  <c r="Y987" i="1"/>
  <c r="AS863" i="1"/>
  <c r="T1626" i="1"/>
  <c r="AQ602" i="1"/>
  <c r="AR602" i="1" s="1"/>
  <c r="K1514" i="1"/>
  <c r="K1576" i="1" s="1"/>
  <c r="AS445" i="1"/>
  <c r="AS1347" i="1"/>
  <c r="Z1161" i="1"/>
  <c r="Z1614" i="1" s="1"/>
  <c r="AS606" i="1"/>
  <c r="AS1091" i="1"/>
  <c r="AI1160" i="1"/>
  <c r="N1626" i="1"/>
  <c r="I1626" i="1"/>
  <c r="AI1269" i="1"/>
  <c r="AJ1513" i="1"/>
  <c r="AK1414" i="1"/>
  <c r="AQ261" i="1"/>
  <c r="AR261" i="1" s="1"/>
  <c r="AK261" i="1"/>
  <c r="AS258" i="1" s="1"/>
  <c r="AK1155" i="1"/>
  <c r="AS1154" i="1" s="1"/>
  <c r="AQ1155" i="1"/>
  <c r="AR1155" i="1" s="1"/>
  <c r="AK443" i="1"/>
  <c r="AS442" i="1" s="1"/>
  <c r="Y1608" i="1"/>
  <c r="AM1513" i="1"/>
  <c r="V1626" i="1"/>
  <c r="AK1240" i="1"/>
  <c r="AS1239" i="1" s="1"/>
  <c r="AS1268" i="1" s="1"/>
  <c r="AS1270" i="1" s="1"/>
  <c r="E1552" i="1"/>
  <c r="AL1513" i="1"/>
  <c r="AI1414" i="1"/>
  <c r="Z1416" i="1"/>
  <c r="Z1620" i="1" s="1"/>
  <c r="AS597" i="1"/>
  <c r="AK1351" i="1"/>
  <c r="Z95" i="1"/>
  <c r="Z1596" i="1" s="1"/>
  <c r="AK602" i="1"/>
  <c r="AS601" i="1" s="1"/>
  <c r="AS1238" i="1"/>
  <c r="Z883" i="1"/>
  <c r="Z1608" i="1" s="1"/>
  <c r="AS974" i="1"/>
  <c r="AS87" i="1"/>
  <c r="AS435" i="1"/>
  <c r="AQ1090" i="1"/>
  <c r="AR1090" i="1" s="1"/>
  <c r="AN1453" i="1"/>
  <c r="S1626" i="1"/>
  <c r="T1514" i="1"/>
  <c r="T1579" i="1" s="1"/>
  <c r="AQ737" i="1"/>
  <c r="AR737" i="1" s="1"/>
  <c r="AQ1449" i="1"/>
  <c r="AR1449" i="1" s="1"/>
  <c r="Y1602" i="1"/>
  <c r="Y1598" i="1"/>
  <c r="Y752" i="1"/>
  <c r="K1626" i="1"/>
  <c r="AA1626" i="1"/>
  <c r="AI882" i="1"/>
  <c r="AS89" i="1"/>
  <c r="S1514" i="1"/>
  <c r="S1579" i="1" s="1"/>
  <c r="AQ865" i="1"/>
  <c r="AR865" i="1" s="1"/>
  <c r="Z1101" i="1"/>
  <c r="AF1513" i="1"/>
  <c r="AQ448" i="1"/>
  <c r="AR448" i="1" s="1"/>
  <c r="AQ1092" i="1"/>
  <c r="AR1092" i="1" s="1"/>
  <c r="AQ440" i="1"/>
  <c r="AR440" i="1" s="1"/>
  <c r="AO452" i="1"/>
  <c r="AO455" i="1" s="1"/>
  <c r="AS140" i="1"/>
  <c r="AQ1342" i="1"/>
  <c r="AR1342" i="1" s="1"/>
  <c r="AK1342" i="1"/>
  <c r="AS1341" i="1" s="1"/>
  <c r="AP861" i="1"/>
  <c r="AS860" i="1" s="1"/>
  <c r="AQ861" i="1"/>
  <c r="AR861" i="1" s="1"/>
  <c r="AQ1245" i="1"/>
  <c r="AR1245" i="1" s="1"/>
  <c r="AK1245" i="1"/>
  <c r="AS1241" i="1" s="1"/>
  <c r="AR1443" i="1"/>
  <c r="AK614" i="1"/>
  <c r="AS613" i="1" s="1"/>
  <c r="AQ614" i="1"/>
  <c r="AR614" i="1" s="1"/>
  <c r="AK1091" i="1"/>
  <c r="AS1090" i="1" s="1"/>
  <c r="AQ1091" i="1"/>
  <c r="AR1091" i="1" s="1"/>
  <c r="AN751" i="1"/>
  <c r="AP726" i="1"/>
  <c r="AP751" i="1" s="1"/>
  <c r="AK1093" i="1"/>
  <c r="AS1092" i="1" s="1"/>
  <c r="AQ1093" i="1"/>
  <c r="AR1093" i="1" s="1"/>
  <c r="AK85" i="1"/>
  <c r="AS84" i="1" s="1"/>
  <c r="AQ85" i="1"/>
  <c r="AR85" i="1" s="1"/>
  <c r="AP1089" i="1"/>
  <c r="AP1100" i="1" s="1"/>
  <c r="AN1100" i="1"/>
  <c r="AQ978" i="1"/>
  <c r="AR978" i="1" s="1"/>
  <c r="AK978" i="1"/>
  <c r="AS977" i="1" s="1"/>
  <c r="AP974" i="1"/>
  <c r="AN986" i="1"/>
  <c r="AQ94" i="1"/>
  <c r="AR80" i="1"/>
  <c r="AR94" i="1" s="1"/>
  <c r="AK612" i="1"/>
  <c r="AQ612" i="1"/>
  <c r="AR612" i="1" s="1"/>
  <c r="AS607" i="1" s="1"/>
  <c r="AN1352" i="1"/>
  <c r="AP1339" i="1"/>
  <c r="AK974" i="1"/>
  <c r="AS973" i="1" s="1"/>
  <c r="AQ974" i="1"/>
  <c r="AR974" i="1" s="1"/>
  <c r="AR970" i="1"/>
  <c r="AP1492" i="1"/>
  <c r="AP1507" i="1" s="1"/>
  <c r="AN1507" i="1"/>
  <c r="AP1453" i="1"/>
  <c r="AS1442" i="1"/>
  <c r="AS1150" i="1"/>
  <c r="Y1353" i="1"/>
  <c r="Z453" i="1"/>
  <c r="Z1602" i="1" s="1"/>
  <c r="AK1507" i="1"/>
  <c r="D1626" i="1"/>
  <c r="AN1269" i="1"/>
  <c r="U1514" i="1"/>
  <c r="R1514" i="1"/>
  <c r="AA809" i="1"/>
  <c r="AH1513" i="1"/>
  <c r="F1546" i="1" s="1"/>
  <c r="Y1270" i="1"/>
  <c r="AQ1240" i="1"/>
  <c r="AR1240" i="1" s="1"/>
  <c r="AR1269" i="1" s="1"/>
  <c r="O1626" i="1"/>
  <c r="P1514" i="1"/>
  <c r="Z616" i="1"/>
  <c r="Z1604" i="1" s="1"/>
  <c r="E1544" i="1"/>
  <c r="H1514" i="1"/>
  <c r="F1626" i="1"/>
  <c r="AP1160" i="1"/>
  <c r="AP1269" i="1"/>
  <c r="AQ1339" i="1"/>
  <c r="AQ735" i="1"/>
  <c r="AR735" i="1" s="1"/>
  <c r="R1626" i="1"/>
  <c r="AQ87" i="1"/>
  <c r="AR87" i="1" s="1"/>
  <c r="AS254" i="1"/>
  <c r="AS141" i="1"/>
  <c r="Z1270" i="1"/>
  <c r="Z1616" i="1" s="1"/>
  <c r="AQ1492" i="1"/>
  <c r="AQ598" i="1"/>
  <c r="AR598" i="1" s="1"/>
  <c r="J1514" i="1"/>
  <c r="O1514" i="1"/>
  <c r="X1514" i="1"/>
  <c r="I1514" i="1"/>
  <c r="AK94" i="1"/>
  <c r="AS79" i="1"/>
  <c r="AS93" i="1" s="1"/>
  <c r="AK1089" i="1"/>
  <c r="AI1100" i="1"/>
  <c r="AQ1089" i="1"/>
  <c r="AI615" i="1"/>
  <c r="AQ596" i="1"/>
  <c r="AK596" i="1"/>
  <c r="AQ250" i="1"/>
  <c r="AI264" i="1"/>
  <c r="AK250" i="1"/>
  <c r="AS969" i="1"/>
  <c r="AR860" i="1"/>
  <c r="AN452" i="1"/>
  <c r="AP429" i="1"/>
  <c r="AS428" i="1" s="1"/>
  <c r="AR1151" i="1"/>
  <c r="AQ140" i="1"/>
  <c r="AI161" i="1"/>
  <c r="AK140" i="1"/>
  <c r="AQ442" i="1"/>
  <c r="AR442" i="1" s="1"/>
  <c r="AK442" i="1"/>
  <c r="AS441" i="1" s="1"/>
  <c r="K1579" i="1"/>
  <c r="K1516" i="1"/>
  <c r="L1598" i="1"/>
  <c r="L1626" i="1" s="1"/>
  <c r="AJ158" i="1"/>
  <c r="AK158" i="1" s="1"/>
  <c r="AS157" i="1" s="1"/>
  <c r="AN264" i="1"/>
  <c r="AP250" i="1"/>
  <c r="S1516" i="1"/>
  <c r="AQ867" i="1"/>
  <c r="AR867" i="1" s="1"/>
  <c r="AK867" i="1"/>
  <c r="AS865" i="1" s="1"/>
  <c r="Y1596" i="1"/>
  <c r="H1626" i="1"/>
  <c r="AN615" i="1"/>
  <c r="AP596" i="1"/>
  <c r="AP615" i="1" s="1"/>
  <c r="AQ1341" i="1"/>
  <c r="AR1341" i="1" s="1"/>
  <c r="AK1341" i="1"/>
  <c r="AS1340" i="1" s="1"/>
  <c r="AK82" i="1"/>
  <c r="AS81" i="1" s="1"/>
  <c r="AQ82" i="1"/>
  <c r="AR82" i="1" s="1"/>
  <c r="AS857" i="1"/>
  <c r="AK751" i="1"/>
  <c r="E1626" i="1"/>
  <c r="N1514" i="1"/>
  <c r="Z265" i="1"/>
  <c r="Z1600" i="1" s="1"/>
  <c r="AI1352" i="1"/>
  <c r="Z1353" i="1"/>
  <c r="Z1618" i="1" s="1"/>
  <c r="Y453" i="1"/>
  <c r="E1514" i="1"/>
  <c r="L1514" i="1"/>
  <c r="J1626" i="1"/>
  <c r="Z752" i="1"/>
  <c r="Z1606" i="1" s="1"/>
  <c r="AQ1414" i="1"/>
  <c r="F1514" i="1"/>
  <c r="AN1160" i="1"/>
  <c r="E1545" i="1"/>
  <c r="AS1350" i="1"/>
  <c r="Y95" i="1"/>
  <c r="AQ736" i="1"/>
  <c r="AR736" i="1" s="1"/>
  <c r="AP435" i="1"/>
  <c r="AS432" i="1" s="1"/>
  <c r="Y883" i="1"/>
  <c r="Y1101" i="1"/>
  <c r="AS1448" i="1"/>
  <c r="AG1513" i="1"/>
  <c r="E1546" i="1" s="1"/>
  <c r="Z987" i="1"/>
  <c r="Z1610" i="1" s="1"/>
  <c r="AS86" i="1"/>
  <c r="AI986" i="1"/>
  <c r="V1514" i="1"/>
  <c r="AN882" i="1"/>
  <c r="AK1453" i="1"/>
  <c r="AQ429" i="1"/>
  <c r="D1514" i="1"/>
  <c r="AQ1153" i="1"/>
  <c r="AR1153" i="1" s="1"/>
  <c r="X1626" i="1"/>
  <c r="AK452" i="1" l="1"/>
  <c r="AP264" i="1"/>
  <c r="AP1352" i="1"/>
  <c r="AS436" i="1"/>
  <c r="S1576" i="1"/>
  <c r="AK1269" i="1"/>
  <c r="AQ1453" i="1"/>
  <c r="AS1491" i="1"/>
  <c r="AS1506" i="1" s="1"/>
  <c r="AR1453" i="1"/>
  <c r="AS1452" i="1"/>
  <c r="AR986" i="1"/>
  <c r="AS451" i="1"/>
  <c r="AP986" i="1"/>
  <c r="AO1513" i="1"/>
  <c r="AQ751" i="1"/>
  <c r="AQ986" i="1"/>
  <c r="AS1402" i="1"/>
  <c r="AS1413" i="1" s="1"/>
  <c r="AK1160" i="1"/>
  <c r="AK1352" i="1"/>
  <c r="AP882" i="1"/>
  <c r="T1576" i="1"/>
  <c r="AS1159" i="1"/>
  <c r="T1516" i="1"/>
  <c r="AR1160" i="1"/>
  <c r="AI1513" i="1"/>
  <c r="Y1514" i="1"/>
  <c r="Y1516" i="1" s="1"/>
  <c r="Y1626" i="1"/>
  <c r="AN1513" i="1"/>
  <c r="AK264" i="1"/>
  <c r="AS249" i="1"/>
  <c r="AS263" i="1" s="1"/>
  <c r="AS266" i="1" s="1"/>
  <c r="AQ615" i="1"/>
  <c r="AR596" i="1"/>
  <c r="AR615" i="1" s="1"/>
  <c r="AK1100" i="1"/>
  <c r="AS1088" i="1"/>
  <c r="AS1099" i="1" s="1"/>
  <c r="AQ1352" i="1"/>
  <c r="AR1339" i="1"/>
  <c r="AR1352" i="1" s="1"/>
  <c r="H1516" i="1"/>
  <c r="H1576" i="1"/>
  <c r="P1579" i="1"/>
  <c r="P1516" i="1"/>
  <c r="P1576" i="1"/>
  <c r="V1516" i="1"/>
  <c r="V1579" i="1"/>
  <c r="V1576" i="1"/>
  <c r="N1579" i="1"/>
  <c r="N1516" i="1"/>
  <c r="N1576" i="1"/>
  <c r="AQ161" i="1"/>
  <c r="AR140" i="1"/>
  <c r="AR161" i="1" s="1"/>
  <c r="I1516" i="1"/>
  <c r="I1579" i="1"/>
  <c r="I1576" i="1"/>
  <c r="L1516" i="1"/>
  <c r="L1579" i="1"/>
  <c r="L1576" i="1"/>
  <c r="AQ264" i="1"/>
  <c r="AR250" i="1"/>
  <c r="AR264" i="1" s="1"/>
  <c r="AQ1100" i="1"/>
  <c r="AR1089" i="1"/>
  <c r="AR1100" i="1" s="1"/>
  <c r="J1579" i="1"/>
  <c r="J1516" i="1"/>
  <c r="J1576" i="1"/>
  <c r="R1516" i="1"/>
  <c r="R1576" i="1"/>
  <c r="Z1626" i="1"/>
  <c r="AS725" i="1"/>
  <c r="AS750" i="1" s="1"/>
  <c r="AS752" i="1" s="1"/>
  <c r="Z1514" i="1"/>
  <c r="AK882" i="1"/>
  <c r="AP452" i="1"/>
  <c r="AS982" i="1"/>
  <c r="AQ452" i="1"/>
  <c r="AQ455" i="1" s="1"/>
  <c r="AR429" i="1"/>
  <c r="AR452" i="1" s="1"/>
  <c r="X1579" i="1"/>
  <c r="X1516" i="1"/>
  <c r="X1576" i="1"/>
  <c r="D1516" i="1"/>
  <c r="D1576" i="1"/>
  <c r="AK615" i="1"/>
  <c r="AS595" i="1"/>
  <c r="AS614" i="1" s="1"/>
  <c r="U1516" i="1"/>
  <c r="U1579" i="1"/>
  <c r="U1576" i="1"/>
  <c r="AK161" i="1"/>
  <c r="AS139" i="1"/>
  <c r="AS160" i="1" s="1"/>
  <c r="O1579" i="1"/>
  <c r="O1516" i="1"/>
  <c r="O1576" i="1"/>
  <c r="AQ1507" i="1"/>
  <c r="AR1492" i="1"/>
  <c r="AR1507" i="1" s="1"/>
  <c r="AB809" i="1"/>
  <c r="AB883" i="1" s="1"/>
  <c r="AA883" i="1"/>
  <c r="AR882" i="1"/>
  <c r="AK986" i="1"/>
  <c r="AS1334" i="1"/>
  <c r="AS1351" i="1" s="1"/>
  <c r="AS881" i="1"/>
  <c r="AQ1160" i="1"/>
  <c r="AQ882" i="1"/>
  <c r="AQ1269" i="1"/>
  <c r="AP1513" i="1" l="1"/>
  <c r="AS1508" i="1"/>
  <c r="AR1513" i="1"/>
  <c r="AR1572" i="1" s="1"/>
  <c r="Y1576" i="1"/>
  <c r="AK1513" i="1"/>
  <c r="AQ1513" i="1"/>
  <c r="AB1608" i="1"/>
  <c r="AB1514" i="1"/>
  <c r="AA1608" i="1"/>
  <c r="AA1514" i="1"/>
  <c r="Z1516" i="1"/>
  <c r="Z1576" i="1"/>
</calcChain>
</file>

<file path=xl/sharedStrings.xml><?xml version="1.0" encoding="utf-8"?>
<sst xmlns="http://schemas.openxmlformats.org/spreadsheetml/2006/main" count="6990" uniqueCount="431">
  <si>
    <t>ACCOUNTING REPORT - LOAN RELEASES</t>
  </si>
  <si>
    <t>RELEASES STILL TO BE PAID BY ECs</t>
  </si>
  <si>
    <t>as of  DECEMBER 31, 2012</t>
  </si>
  <si>
    <t>BALANCE OF</t>
  </si>
  <si>
    <t>PESO RELEASES</t>
  </si>
  <si>
    <t>RELEASES</t>
  </si>
  <si>
    <t>LAST</t>
  </si>
  <si>
    <t>RELEASED</t>
  </si>
  <si>
    <t>THIS</t>
  </si>
  <si>
    <t>PESO</t>
  </si>
  <si>
    <t xml:space="preserve">  RELEASES</t>
  </si>
  <si>
    <t>E/M RELEASES</t>
  </si>
  <si>
    <t>ALLOCATION</t>
  </si>
  <si>
    <t>E/M</t>
  </si>
  <si>
    <t xml:space="preserve">    TOTAL</t>
  </si>
  <si>
    <t>LOAN</t>
  </si>
  <si>
    <t>BALANCE</t>
  </si>
  <si>
    <t>APPROVED</t>
  </si>
  <si>
    <t>AS OF 11/30/05</t>
  </si>
  <si>
    <t>THIS MONTH</t>
  </si>
  <si>
    <t xml:space="preserve">               R E L E A S E S</t>
  </si>
  <si>
    <t>LAST MONTH</t>
  </si>
  <si>
    <t>W / JV</t>
  </si>
  <si>
    <t>MONTH</t>
  </si>
  <si>
    <t>WITH ALLOC.</t>
  </si>
  <si>
    <t>W/ALLOC.</t>
  </si>
  <si>
    <t>APPROVED LOANS</t>
  </si>
  <si>
    <t>T O T A L</t>
  </si>
  <si>
    <t xml:space="preserve"> WITH ALLOC.</t>
  </si>
  <si>
    <t xml:space="preserve"> T O T A L</t>
  </si>
  <si>
    <t>ACTUAL</t>
  </si>
  <si>
    <t>EC</t>
  </si>
  <si>
    <t>TYPE OF LOAN</t>
  </si>
  <si>
    <t>EM</t>
  </si>
  <si>
    <t xml:space="preserve">     --------</t>
  </si>
  <si>
    <t>(O=B-G-L)</t>
  </si>
  <si>
    <t>(B)</t>
  </si>
  <si>
    <t>(C)</t>
  </si>
  <si>
    <t>(D)</t>
  </si>
  <si>
    <t>(E=C+D)</t>
  </si>
  <si>
    <t>(F)</t>
  </si>
  <si>
    <t>(G=E+F)</t>
  </si>
  <si>
    <t>(H)</t>
  </si>
  <si>
    <t>(I)</t>
  </si>
  <si>
    <t>(J=H+I)</t>
  </si>
  <si>
    <t>(K)</t>
  </si>
  <si>
    <t>(L=J+K)</t>
  </si>
  <si>
    <t>(M=E+J)</t>
  </si>
  <si>
    <t>(N=B-M)</t>
  </si>
  <si>
    <t>REGION I</t>
  </si>
  <si>
    <t>ILOCOS NORTE</t>
  </si>
  <si>
    <t>RURAL ELEC.</t>
  </si>
  <si>
    <t>RE-HQ</t>
  </si>
  <si>
    <t>SINGLE DIGIT (2004)</t>
  </si>
  <si>
    <t>WB-RERP(RE)</t>
  </si>
  <si>
    <t>LOGISTICAL</t>
  </si>
  <si>
    <t>WB-RERP(LOG)</t>
  </si>
  <si>
    <t>-</t>
  </si>
  <si>
    <t>CHARGED TO EXCESS PAYMENT</t>
  </si>
  <si>
    <t>ILOCOS SUR</t>
  </si>
  <si>
    <t>LA UNION</t>
  </si>
  <si>
    <t>RE-IRTC-HQ</t>
  </si>
  <si>
    <t>SINGLE DIGIT (2005)</t>
  </si>
  <si>
    <t>SINGLE DIGIT (2009)</t>
  </si>
  <si>
    <t>SINGLE DIGIT (2011)</t>
  </si>
  <si>
    <t>RE-WORKING CAPITAL (2011)</t>
  </si>
  <si>
    <t>RE-WORKING CAPITAL (2012)</t>
  </si>
  <si>
    <t>ST CREDIT FACILITY</t>
  </si>
  <si>
    <t>CALAMITY LOAN T-COSME (2008)</t>
  </si>
  <si>
    <t>CALAMITY LOAN T-PEPENG (2009)</t>
  </si>
  <si>
    <t>RELENDING</t>
  </si>
  <si>
    <t>PANGASINAN I</t>
  </si>
  <si>
    <t>SINGLE DIGIT</t>
  </si>
  <si>
    <t>CENPELCO</t>
  </si>
  <si>
    <t>FUNDING REQUIREMENT (2010)</t>
  </si>
  <si>
    <t>SINGLE DIGIT (2006)</t>
  </si>
  <si>
    <t>SINGLE DIGIT (2008)</t>
  </si>
  <si>
    <t>SINGLE DIGIT (2010)</t>
  </si>
  <si>
    <t>EFSEC</t>
  </si>
  <si>
    <t>CALAMITY LOAN T-CALOY (2006)</t>
  </si>
  <si>
    <t>CALAMITY LOAN T-COSME (2009)</t>
  </si>
  <si>
    <t>R2 (EL-REL)</t>
  </si>
  <si>
    <t>FUNDING REQUIREMENT (2004)</t>
  </si>
  <si>
    <t>FR</t>
  </si>
  <si>
    <t>PANG. III</t>
  </si>
  <si>
    <t>RE</t>
  </si>
  <si>
    <t>STCF</t>
  </si>
  <si>
    <t>WB-RERP-RE</t>
  </si>
  <si>
    <t>WB-RERP-LOG</t>
  </si>
  <si>
    <t>WB-RERP- STNG. AREA</t>
  </si>
  <si>
    <t>WB-ST</t>
  </si>
  <si>
    <t>R2 RELENDING</t>
  </si>
  <si>
    <t>PANGASINAN III</t>
  </si>
  <si>
    <t>=</t>
  </si>
  <si>
    <t>C A R (Cordillera Autonomous Region)</t>
  </si>
  <si>
    <t>ABRA</t>
  </si>
  <si>
    <t>OECF-RE</t>
  </si>
  <si>
    <t>OECF-LOG</t>
  </si>
  <si>
    <t>EL-CONCESSIONAL</t>
  </si>
  <si>
    <t>BENGUET</t>
  </si>
  <si>
    <t>CALAMITY LOAN</t>
  </si>
  <si>
    <t>SEP (SOLAR)</t>
  </si>
  <si>
    <t>MT. PROVINCE</t>
  </si>
  <si>
    <t>IFUGAO</t>
  </si>
  <si>
    <t>CALAMITY LOAN T-JUAN (2010)</t>
  </si>
  <si>
    <t>CALAMITY LOAN T- PEDRING &amp; QUIEL (2011)</t>
  </si>
  <si>
    <t>CONCESSIONAL LOAN (2009)</t>
  </si>
  <si>
    <t>CALAMITY LOAN T-YOYONG (2005)</t>
  </si>
  <si>
    <t>CALAMITY LOAN (T-HARUROT)</t>
  </si>
  <si>
    <t>KAELCO</t>
  </si>
  <si>
    <t>FUNDING REQUIREMENT (2009)</t>
  </si>
  <si>
    <t>SHORT TERM</t>
  </si>
  <si>
    <t>STAND-BY CREDIT</t>
  </si>
  <si>
    <t>CAL LOAN T-LANDO &amp; MINA (2008)</t>
  </si>
  <si>
    <t>CAL LOAN T-ONDOY &amp; PEPENG (2009)</t>
  </si>
  <si>
    <t>CAL LOAN T-JUAN (2011)</t>
  </si>
  <si>
    <t>#</t>
  </si>
  <si>
    <t>T-HARUROT</t>
  </si>
  <si>
    <t>------------------------</t>
  </si>
  <si>
    <t>SEP</t>
  </si>
  <si>
    <t>EL-CON</t>
  </si>
  <si>
    <t>TOTAL</t>
  </si>
  <si>
    <t>CAR</t>
  </si>
  <si>
    <t># Paid per OR#6337884 10/20/09</t>
  </si>
  <si>
    <t>REGION II</t>
  </si>
  <si>
    <t>CAGAYAN I</t>
  </si>
  <si>
    <t>FUNDING REQUIREMENT (2012)</t>
  </si>
  <si>
    <t>RE-WORKING CAPITAL (2009)</t>
  </si>
  <si>
    <t>STAND-BY-CREDIT</t>
  </si>
  <si>
    <t>CALAMITY LOAN-PEPENG (2009)</t>
  </si>
  <si>
    <t>CAGAYAN II</t>
  </si>
  <si>
    <t xml:space="preserve"> </t>
  </si>
  <si>
    <t>SINGLE DIGIT(2004)</t>
  </si>
  <si>
    <t>SINGLE DIGIT(2006)</t>
  </si>
  <si>
    <t>SINGLE DIGIT(2008)</t>
  </si>
  <si>
    <t>SINGLE DIGIT(2011)</t>
  </si>
  <si>
    <t>SINGLE DIGIT (2012)</t>
  </si>
  <si>
    <t>CONCESSIONAL LOAN</t>
  </si>
  <si>
    <t>CALAMITY LOAN-KAREN (2008)</t>
  </si>
  <si>
    <t>CALAMITY LOAN-JUAN (2011)</t>
  </si>
  <si>
    <t>CALAMITY LOAN-MINA (2011)</t>
  </si>
  <si>
    <t xml:space="preserve">CAGELCO II </t>
  </si>
  <si>
    <t>ISABELA I</t>
  </si>
  <si>
    <t>RE- WORKING CAPITAL (2012)</t>
  </si>
  <si>
    <t>CALAMITY LOAN-T-JUAN (2010)</t>
  </si>
  <si>
    <t>CALAMITY LOAN-T-PEDRING &amp; QUIEL (2012)</t>
  </si>
  <si>
    <t>#Paid per JEV#2011-06-003901 dated 06/09/11 in the amount of P332,837.45 (bal. P7,162.55)</t>
  </si>
  <si>
    <t>ISABELA II</t>
  </si>
  <si>
    <t>CALAMITY LOAN T- KABAYAN (2008)</t>
  </si>
  <si>
    <t>CALAMITY LOAN T-JUAN (2011)</t>
  </si>
  <si>
    <t>EL-HARUROT</t>
  </si>
  <si>
    <t>NUVELCO</t>
  </si>
  <si>
    <t>EL-TYPHOON</t>
  </si>
  <si>
    <t>QUIRINO</t>
  </si>
  <si>
    <t>EL-T (HARUROT)</t>
  </si>
  <si>
    <t>BATANES</t>
  </si>
  <si>
    <t xml:space="preserve">TOTAL </t>
  </si>
  <si>
    <t>===============</t>
  </si>
  <si>
    <t>REGION III</t>
  </si>
  <si>
    <t>AURORA</t>
  </si>
  <si>
    <t>RE-WORKING CAPITAL (2010)</t>
  </si>
  <si>
    <t>SINGLE DIGIT (2007)</t>
  </si>
  <si>
    <t xml:space="preserve">CALAMITY LOAN </t>
  </si>
  <si>
    <t>CALAMITY LOAN  T-PAENG</t>
  </si>
  <si>
    <t>CALAMITY LOAN  T-PIDRING &amp; QUIEL (2011)</t>
  </si>
  <si>
    <t>PENINSULA/</t>
  </si>
  <si>
    <t xml:space="preserve"> BATELCO</t>
  </si>
  <si>
    <t>EL-RELENDING</t>
  </si>
  <si>
    <t>PENINSULA</t>
  </si>
  <si>
    <t>PAMPANGA I</t>
  </si>
  <si>
    <t>R2</t>
  </si>
  <si>
    <t>#Paid per JEV#08-02-0901</t>
  </si>
  <si>
    <t>PAMPANGA II</t>
  </si>
  <si>
    <t>PAMPANGA III</t>
  </si>
  <si>
    <t>PRESCO</t>
  </si>
  <si>
    <t xml:space="preserve">SINGLE DIGIT (2012) </t>
  </si>
  <si>
    <t>NUEVA ECIJA I</t>
  </si>
  <si>
    <t># Direct payment  P517</t>
  </si>
  <si>
    <t xml:space="preserve">NUEVA ECIJA II -    </t>
  </si>
  <si>
    <t>AREA I</t>
  </si>
  <si>
    <t>FUNDING REQUIREMENT (2008)</t>
  </si>
  <si>
    <t>FUNDING REQUIREMENT (2011)</t>
  </si>
  <si>
    <t>MODIFIED RELENDING</t>
  </si>
  <si>
    <t>EL-EQ (HQ)</t>
  </si>
  <si>
    <t xml:space="preserve"># Charged to advance payment </t>
  </si>
  <si>
    <t xml:space="preserve">    per JEV#08-03-0882 dtd 03/03/08</t>
  </si>
  <si>
    <t>AREA II</t>
  </si>
  <si>
    <t>SAN JOSE</t>
  </si>
  <si>
    <t>TARLAC I</t>
  </si>
  <si>
    <t xml:space="preserve">WB-RERP(RE) </t>
  </si>
  <si>
    <t># charged to FR (EM)</t>
  </si>
  <si>
    <t>TARLAC II</t>
  </si>
  <si>
    <t>RELENDING 1</t>
  </si>
  <si>
    <t>ZAMBALES I</t>
  </si>
  <si>
    <t xml:space="preserve">RURAL ELEC. </t>
  </si>
  <si>
    <t>EFSEC (2005)</t>
  </si>
  <si>
    <t>CALAMITY LOAN T-KIKO (2009)</t>
  </si>
  <si>
    <t>MOD RELENDING</t>
  </si>
  <si>
    <t>ZAMBALES II</t>
  </si>
  <si>
    <t>EL RELENDING</t>
  </si>
  <si>
    <t>WB-ESL (RE)</t>
  </si>
  <si>
    <t xml:space="preserve">RELENDING </t>
  </si>
  <si>
    <t>WB-ESL</t>
  </si>
  <si>
    <t>REGION IV</t>
  </si>
  <si>
    <t>BATANGAS I</t>
  </si>
  <si>
    <t>WB-RERP -RE</t>
  </si>
  <si>
    <t>WB-RERP -LOG</t>
  </si>
  <si>
    <t>WB-RERP-STAGING AREA</t>
  </si>
  <si>
    <t>BATANGAS II</t>
  </si>
  <si>
    <t xml:space="preserve">FIRST LAGUNA </t>
  </si>
  <si>
    <t>RE-WORKING CAPITAL</t>
  </si>
  <si>
    <t>CALAMITY LOAN -T- FRANK (2008)</t>
  </si>
  <si>
    <t>MARINDUQUE</t>
  </si>
  <si>
    <t>OCC. MINDORO</t>
  </si>
  <si>
    <t>CALAMITY LOAN (T-UNDING)</t>
  </si>
  <si>
    <t>OR. MINDORO</t>
  </si>
  <si>
    <t># charged to advance</t>
  </si>
  <si>
    <t>payment</t>
  </si>
  <si>
    <t>PALAWAN</t>
  </si>
  <si>
    <t>QUEZON I</t>
  </si>
  <si>
    <t>CALAMITY LOAN T-MILENYO</t>
  </si>
  <si>
    <t>QUEZON II</t>
  </si>
  <si>
    <t>CALAMITY LOAN T-UNDING</t>
  </si>
  <si>
    <t xml:space="preserve">LUBANG </t>
  </si>
  <si>
    <t>CONCESSIONAL LOAN (2010)</t>
  </si>
  <si>
    <t>BUSUANGA IS.</t>
  </si>
  <si>
    <t>TABLAS IS.</t>
  </si>
  <si>
    <t>POLLILIO IS</t>
  </si>
  <si>
    <t>ROMBLON</t>
  </si>
  <si>
    <t>CALAMITY LOAN - FRANK (2008)</t>
  </si>
  <si>
    <t>CALAMITY LOAN - FERIA (2009)</t>
  </si>
  <si>
    <t>CLAMITY LOAN</t>
  </si>
  <si>
    <t>REGION V</t>
  </si>
  <si>
    <t xml:space="preserve">ALBAY </t>
  </si>
  <si>
    <t>RELENDING 2</t>
  </si>
  <si>
    <t>CAM. SUR I</t>
  </si>
  <si>
    <t>CAM. SUR II</t>
  </si>
  <si>
    <t>WB-RERP-STGNG AREA</t>
  </si>
  <si>
    <t>CAM. SUR III</t>
  </si>
  <si>
    <t xml:space="preserve">   </t>
  </si>
  <si>
    <t>CAM. SUR IV</t>
  </si>
  <si>
    <t>CAM. NORTE</t>
  </si>
  <si>
    <t>CALAMITY LOAN - TYPHOON SANTI</t>
  </si>
  <si>
    <t>F.CATANDUANES</t>
  </si>
  <si>
    <t>MASBATE</t>
  </si>
  <si>
    <t>TICAO</t>
  </si>
  <si>
    <t>CONCESSIONAL</t>
  </si>
  <si>
    <t>RE-ADD-ONS</t>
  </si>
  <si>
    <t>SORSOGON I</t>
  </si>
  <si>
    <t>ST</t>
  </si>
  <si>
    <t>ST. CREDIT FACILITY</t>
  </si>
  <si>
    <t xml:space="preserve">OECF-RE     </t>
  </si>
  <si>
    <t># paid  OR#9688044</t>
  </si>
  <si>
    <t xml:space="preserve">      dtd 10/16/06</t>
  </si>
  <si>
    <t>SORSOGON II</t>
  </si>
  <si>
    <t>RE ADD-ONS</t>
  </si>
  <si>
    <t>WB-SA</t>
  </si>
  <si>
    <t>REGION VI</t>
  </si>
  <si>
    <t>AKLAN</t>
  </si>
  <si>
    <t>CALAMITY LOAN T-FRANK (2008)</t>
  </si>
  <si>
    <t>WB-ESL(RE)</t>
  </si>
  <si>
    <t>ANTIQUE</t>
  </si>
  <si>
    <t>CAPIZ</t>
  </si>
  <si>
    <t>MODEFIED RELENDING</t>
  </si>
  <si>
    <t>SINGLE DIGIT(2005)</t>
  </si>
  <si>
    <t>ILOILO I</t>
  </si>
  <si>
    <t>ILOILO II</t>
  </si>
  <si>
    <t>SINGLE DIGIT(2010)</t>
  </si>
  <si>
    <t>ILOILO III</t>
  </si>
  <si>
    <t>CENECO</t>
  </si>
  <si>
    <t>RE-WORKING CAPITAL(2011</t>
  </si>
  <si>
    <t>69KV</t>
  </si>
  <si>
    <t xml:space="preserve">NOCECO </t>
  </si>
  <si>
    <t>VRESCO</t>
  </si>
  <si>
    <t>RE-RELENDING</t>
  </si>
  <si>
    <t>69 KV</t>
  </si>
  <si>
    <t>WB-ESL-RE</t>
  </si>
  <si>
    <t>GUIMARAS</t>
  </si>
  <si>
    <t>EL-NANANG</t>
  </si>
  <si>
    <t>RE RELENDING</t>
  </si>
  <si>
    <t>EL-TYPHOON-NANANG</t>
  </si>
  <si>
    <t>REGION VII</t>
  </si>
  <si>
    <t>BOHOL I</t>
  </si>
  <si>
    <t>BOHOL II</t>
  </si>
  <si>
    <t>CEBU I</t>
  </si>
  <si>
    <t>CEBECO I</t>
  </si>
  <si>
    <t>CEBU II</t>
  </si>
  <si>
    <t>CEBU III</t>
  </si>
  <si>
    <t>RE-TRANNING FCLTY</t>
  </si>
  <si>
    <t>CEBECO III</t>
  </si>
  <si>
    <t>NEGROS OR. I</t>
  </si>
  <si>
    <t>NEGROS OR. II</t>
  </si>
  <si>
    <t>BANTAYAN IS.</t>
  </si>
  <si>
    <t>CALAMITY LOAN T- FRANK (2008)</t>
  </si>
  <si>
    <t>CAMOTES IS.</t>
  </si>
  <si>
    <t>RE-T. FACILITY</t>
  </si>
  <si>
    <t>SIQUIJOR IS.</t>
  </si>
  <si>
    <t>MACTAN</t>
  </si>
  <si>
    <t>REGION VIII</t>
  </si>
  <si>
    <t>LEYTE/DORELCO</t>
  </si>
  <si>
    <t>@</t>
  </si>
  <si>
    <t>@ w/ amortization</t>
  </si>
  <si>
    <t># Restructured</t>
  </si>
  <si>
    <t>LEYTE II</t>
  </si>
  <si>
    <t>LEYTE III</t>
  </si>
  <si>
    <t>LEYTE IV</t>
  </si>
  <si>
    <t>LEYTE V</t>
  </si>
  <si>
    <t>#Paid per OR#6339066 dated 04/19/10</t>
  </si>
  <si>
    <t>SOLECO</t>
  </si>
  <si>
    <t>SAMAR I</t>
  </si>
  <si>
    <t>ADD'L LOAN</t>
  </si>
  <si>
    <t xml:space="preserve">LOGISTICAL  </t>
  </si>
  <si>
    <t xml:space="preserve">OECF-LOG    </t>
  </si>
  <si>
    <t>SAMAR II</t>
  </si>
  <si>
    <t>ESAMELCO</t>
  </si>
  <si>
    <t>REL-UNSANG &amp; YONING</t>
  </si>
  <si>
    <t>NORSAMELCO</t>
  </si>
  <si>
    <t>OECFLOG</t>
  </si>
  <si>
    <t>BILIRAN</t>
  </si>
  <si>
    <t>REL. UNSANG &amp; YONING</t>
  </si>
  <si>
    <t>REGION IX</t>
  </si>
  <si>
    <t>ZAMB. CITY</t>
  </si>
  <si>
    <t>OECF-LOGISTICAL</t>
  </si>
  <si>
    <t>ZAMB. NORTE</t>
  </si>
  <si>
    <t>ZANECO</t>
  </si>
  <si>
    <t>ZAMB. SUR I</t>
  </si>
  <si>
    <t>ZAM. SUR I</t>
  </si>
  <si>
    <t xml:space="preserve">ZAMB. SUR II </t>
  </si>
  <si>
    <t>ZAMB. SUR II</t>
  </si>
  <si>
    <t>BASILAN</t>
  </si>
  <si>
    <t>SIGLE DIGIT</t>
  </si>
  <si>
    <t>WBRERP-LOG</t>
  </si>
  <si>
    <t>REGION X</t>
  </si>
  <si>
    <t>BUKIDNON I</t>
  </si>
  <si>
    <t>BUKIDNON II</t>
  </si>
  <si>
    <t>RE-WORKING CAPITAL (ADDITIONAL)</t>
  </si>
  <si>
    <t>MOELCI I</t>
  </si>
  <si>
    <t>MOELCI II</t>
  </si>
  <si>
    <t>MORESCO I</t>
  </si>
  <si>
    <t>SINGLE DIGIT(2006/2007)</t>
  </si>
  <si>
    <t>SINGLE DIGIT  (2008)</t>
  </si>
  <si>
    <t>SINGLE DIGIT  (2009)</t>
  </si>
  <si>
    <t>CALAMITY LOAN T-SENDONG (2011)</t>
  </si>
  <si>
    <t>RE-ITC</t>
  </si>
  <si>
    <t>MORESCO II</t>
  </si>
  <si>
    <t>CAMIGUIN IS.</t>
  </si>
  <si>
    <t xml:space="preserve">#P56,377.50 paid per OR#7351082 dtd 3/03/08 </t>
  </si>
  <si>
    <t xml:space="preserve">  P30,000.00 paid per OR#7351169 dtd 3/24/08</t>
  </si>
  <si>
    <t xml:space="preserve">  P53,410.30 paid per OR#7352933 dtd 1/27/09</t>
  </si>
  <si>
    <t>P100,000.00 paid per OR#7352994 dtd 2/02/09</t>
  </si>
  <si>
    <t>P100,000.00 paid per OR#7353106 dtd 3/09/09</t>
  </si>
  <si>
    <t>LANECO</t>
  </si>
  <si>
    <t>RURAL ELEC. 2012 (COA AOM)</t>
  </si>
  <si>
    <t>FUNDING REQUIREMENT</t>
  </si>
  <si>
    <t>RE ITC</t>
  </si>
  <si>
    <t>EL-T-NANANG</t>
  </si>
  <si>
    <t>CARAGA</t>
  </si>
  <si>
    <t>AGUSAN NORTE</t>
  </si>
  <si>
    <t xml:space="preserve">       charged to excess payment</t>
  </si>
  <si>
    <t>AGUSAN SUR</t>
  </si>
  <si>
    <t>CALAMITY LOAN - T. SENDONG (2012)</t>
  </si>
  <si>
    <t>SURNECO</t>
  </si>
  <si>
    <t>SIARGAO IS.</t>
  </si>
  <si>
    <t>DINAGAT IS.</t>
  </si>
  <si>
    <t>DINAGAT</t>
  </si>
  <si>
    <t>SURIGAO SUR I</t>
  </si>
  <si>
    <t>SINGLE DIGIT(2007)</t>
  </si>
  <si>
    <t>SINGLE DIGIT(2012)</t>
  </si>
  <si>
    <t>CALAMITY LOAN T-SENDONG</t>
  </si>
  <si>
    <t>MOD. RELENDING</t>
  </si>
  <si>
    <t>SURIGAO SUR II</t>
  </si>
  <si>
    <t>A R M M (Autonomous Region of Muslim Mindanao)</t>
  </si>
  <si>
    <t>SULU</t>
  </si>
  <si>
    <t>CONCESSIONAL LOAN (2012)</t>
  </si>
  <si>
    <t>EL-HQ</t>
  </si>
  <si>
    <t>TAWI-TAWI</t>
  </si>
  <si>
    <t>CONCESSIONAL LOAN(09/10)</t>
  </si>
  <si>
    <t>CALAMITY LOAN (T-CALOY- 06)</t>
  </si>
  <si>
    <t>CAG.DE SULU</t>
  </si>
  <si>
    <t>SIASI</t>
  </si>
  <si>
    <t>LANAO SUR</t>
  </si>
  <si>
    <t>CONCESSIONAL (2010)</t>
  </si>
  <si>
    <t>CONCESSIONAL (2012-negative loan bal)</t>
  </si>
  <si>
    <t>CONCESSIONAL (2012-COA AOM)</t>
  </si>
  <si>
    <t>CONCESSIONAL (2012)</t>
  </si>
  <si>
    <t>RE; 163,015.00 - LOG (VEHICLE)</t>
  </si>
  <si>
    <t>MAGUINDANAO</t>
  </si>
  <si>
    <t>A R M M</t>
  </si>
  <si>
    <t>REGION XI</t>
  </si>
  <si>
    <t>DAVAO NORTE</t>
  </si>
  <si>
    <t>DAVAO SUR</t>
  </si>
  <si>
    <t>DAVAO OR.</t>
  </si>
  <si>
    <t>REGION XII</t>
  </si>
  <si>
    <t>SOCOTECO I</t>
  </si>
  <si>
    <t>HQ LOAN</t>
  </si>
  <si>
    <t>SINGLE DIGIT(2009)</t>
  </si>
  <si>
    <t>SOCOTECO II</t>
  </si>
  <si>
    <t>NO. COTABATO</t>
  </si>
  <si>
    <t>SULTAN KUDARAT</t>
  </si>
  <si>
    <t>SINGLE DIFIT (2009)</t>
  </si>
  <si>
    <t>#paid per OR#7532320 dtd10/02/08 P17,571.00</t>
  </si>
  <si>
    <t>#paid per OR#7352307 dtd09/02/08 P45,610.00</t>
  </si>
  <si>
    <t>GRAND TOTAL</t>
  </si>
  <si>
    <t>v</t>
  </si>
  <si>
    <t>TOTAL-CHARGED TO EXCESS PYMNT</t>
  </si>
  <si>
    <t>NORECO I-SD-RECLASS</t>
  </si>
  <si>
    <t>ADDL LOAN</t>
  </si>
  <si>
    <t>SUMMARY:</t>
  </si>
  <si>
    <t xml:space="preserve">           R E L E A S E S</t>
  </si>
  <si>
    <t>RURAL ELECTIFICATION</t>
  </si>
  <si>
    <t>RURAL RELECTRIFICATION-HQ</t>
  </si>
  <si>
    <t>RURAL ELEC.- IRTC HQ</t>
  </si>
  <si>
    <t>RE-TRAINNING FACILITY</t>
  </si>
  <si>
    <t>HQ-LOAN</t>
  </si>
  <si>
    <t>RELENDING I</t>
  </si>
  <si>
    <t>RELENDING-EL</t>
  </si>
  <si>
    <t>RELENDING-RE</t>
  </si>
  <si>
    <t>RURAL ELEC.-ADD-ONS</t>
  </si>
  <si>
    <t>SINGLE DIGIT SYSTEM LOSS</t>
  </si>
  <si>
    <t>WORLD BANK-ESL (RE)</t>
  </si>
  <si>
    <t>SHORT TERM CREDIT FACILITY</t>
  </si>
  <si>
    <t>WB-RERP (STAGING AREA)</t>
  </si>
  <si>
    <t>WB-RERP (RE)</t>
  </si>
  <si>
    <t>WB-RERP (LOGISTICAL)</t>
  </si>
  <si>
    <t>CALAMITY LOAN-</t>
  </si>
  <si>
    <t>EL-EARTHQUAKE  (HQ)</t>
  </si>
  <si>
    <t>POLLILIO IS.</t>
  </si>
  <si>
    <t xml:space="preserve">GRAND TOTAL </t>
  </si>
  <si>
    <t>EXCESS PAYMENT</t>
  </si>
  <si>
    <t>(IN THOUSAND PESOS )</t>
  </si>
  <si>
    <t>ARMM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</si>
</sst>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;\(#,##0.00\)"/>
    <numFmt numFmtId="165" formatCode="#,##0;\(#,##0\)"/>
    <numFmt numFmtId="166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indexed="9"/>
      <name val="Arial"/>
      <family val="2"/>
    </font>
    <font>
      <sz val="12"/>
      <color indexed="10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37" fontId="2" fillId="0" borderId="0" xfId="0" applyNumberFormat="1" applyFont="1"/>
    <xf numFmtId="39" fontId="2" fillId="0" borderId="0" xfId="0" applyNumberFormat="1" applyFont="1" applyAlignment="1" applyProtection="1">
      <alignment horizontal="left"/>
    </xf>
    <xf numFmtId="37" fontId="3" fillId="0" borderId="0" xfId="0" applyNumberFormat="1" applyFont="1"/>
    <xf numFmtId="164" fontId="3" fillId="0" borderId="0" xfId="0" applyNumberFormat="1" applyFont="1"/>
    <xf numFmtId="37" fontId="2" fillId="0" borderId="0" xfId="0" applyNumberFormat="1" applyFont="1" applyAlignment="1" applyProtection="1">
      <alignment horizontal="left"/>
    </xf>
    <xf numFmtId="164" fontId="3" fillId="0" borderId="0" xfId="0" applyNumberFormat="1" applyFont="1" applyAlignment="1" applyProtection="1">
      <alignment horizontal="center"/>
    </xf>
    <xf numFmtId="164" fontId="3" fillId="0" borderId="0" xfId="0" applyNumberFormat="1" applyFont="1" applyProtection="1"/>
    <xf numFmtId="39" fontId="3" fillId="0" borderId="0" xfId="0" applyNumberFormat="1" applyFont="1" applyAlignment="1" applyProtection="1">
      <alignment horizontal="center"/>
    </xf>
    <xf numFmtId="39" fontId="3" fillId="0" borderId="0" xfId="0" applyNumberFormat="1" applyFont="1" applyProtection="1"/>
    <xf numFmtId="39" fontId="3" fillId="0" borderId="0" xfId="0" applyNumberFormat="1" applyFont="1" applyBorder="1" applyAlignment="1" applyProtection="1">
      <alignment horizontal="center"/>
    </xf>
    <xf numFmtId="37" fontId="3" fillId="0" borderId="0" xfId="0" applyNumberFormat="1" applyFont="1" applyBorder="1"/>
    <xf numFmtId="164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left"/>
    </xf>
    <xf numFmtId="39" fontId="3" fillId="0" borderId="1" xfId="0" applyNumberFormat="1" applyFont="1" applyBorder="1" applyAlignment="1" applyProtection="1">
      <alignment horizontal="center"/>
    </xf>
    <xf numFmtId="37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39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>
      <alignment horizontal="left"/>
    </xf>
    <xf numFmtId="165" fontId="3" fillId="0" borderId="0" xfId="0" applyNumberFormat="1" applyFont="1" applyProtection="1"/>
    <xf numFmtId="37" fontId="3" fillId="0" borderId="0" xfId="0" applyNumberFormat="1" applyFont="1" applyAlignment="1" applyProtection="1">
      <alignment horizontal="left"/>
    </xf>
    <xf numFmtId="165" fontId="3" fillId="0" borderId="0" xfId="0" applyNumberFormat="1" applyFont="1" applyAlignment="1" applyProtection="1">
      <alignment horizontal="fill"/>
    </xf>
    <xf numFmtId="37" fontId="3" fillId="0" borderId="0" xfId="0" applyNumberFormat="1" applyFont="1" applyAlignment="1">
      <alignment horizontal="left"/>
    </xf>
    <xf numFmtId="165" fontId="3" fillId="0" borderId="2" xfId="0" applyNumberFormat="1" applyFont="1" applyBorder="1" applyProtection="1"/>
    <xf numFmtId="165" fontId="3" fillId="0" borderId="2" xfId="0" applyNumberFormat="1" applyFont="1" applyBorder="1" applyAlignment="1" applyProtection="1">
      <alignment horizontal="right"/>
    </xf>
    <xf numFmtId="37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165" fontId="3" fillId="0" borderId="0" xfId="0" applyNumberFormat="1" applyFont="1" applyBorder="1" applyAlignment="1" applyProtection="1">
      <alignment horizontal="left"/>
    </xf>
    <xf numFmtId="165" fontId="3" fillId="0" borderId="0" xfId="0" applyNumberFormat="1" applyFont="1" applyBorder="1" applyAlignment="1" applyProtection="1">
      <alignment horizontal="fill"/>
    </xf>
    <xf numFmtId="165" fontId="3" fillId="0" borderId="0" xfId="0" applyNumberFormat="1" applyFont="1" applyAlignment="1" applyProtection="1">
      <alignment horizontal="left"/>
    </xf>
    <xf numFmtId="165" fontId="3" fillId="0" borderId="0" xfId="0" applyNumberFormat="1" applyFont="1"/>
    <xf numFmtId="39" fontId="3" fillId="0" borderId="0" xfId="0" applyNumberFormat="1" applyFont="1" applyAlignment="1" applyProtection="1">
      <alignment horizontal="left" shrinkToFit="1"/>
    </xf>
    <xf numFmtId="39" fontId="3" fillId="0" borderId="0" xfId="0" applyNumberFormat="1" applyFont="1" applyAlignment="1">
      <alignment horizontal="right"/>
    </xf>
    <xf numFmtId="164" fontId="3" fillId="0" borderId="0" xfId="0" applyNumberFormat="1" applyFont="1" applyAlignment="1" applyProtection="1">
      <alignment horizontal="right"/>
    </xf>
    <xf numFmtId="39" fontId="3" fillId="0" borderId="0" xfId="0" applyNumberFormat="1" applyFont="1"/>
    <xf numFmtId="165" fontId="3" fillId="0" borderId="0" xfId="0" applyNumberFormat="1" applyFont="1" applyAlignment="1" applyProtection="1">
      <alignment horizontal="right"/>
    </xf>
    <xf numFmtId="37" fontId="3" fillId="0" borderId="0" xfId="0" applyNumberFormat="1" applyFont="1" applyAlignment="1" applyProtection="1">
      <alignment horizontal="right"/>
    </xf>
    <xf numFmtId="165" fontId="3" fillId="0" borderId="2" xfId="0" applyNumberFormat="1" applyFont="1" applyBorder="1"/>
    <xf numFmtId="165" fontId="3" fillId="0" borderId="0" xfId="0" applyNumberFormat="1" applyFont="1" applyBorder="1"/>
    <xf numFmtId="37" fontId="4" fillId="0" borderId="0" xfId="0" applyNumberFormat="1" applyFont="1"/>
    <xf numFmtId="165" fontId="3" fillId="0" borderId="0" xfId="0" quotePrefix="1" applyNumberFormat="1" applyFont="1" applyAlignment="1" applyProtection="1">
      <alignment horizontal="center"/>
    </xf>
    <xf numFmtId="37" fontId="3" fillId="0" borderId="0" xfId="0" applyNumberFormat="1" applyFont="1" applyAlignment="1">
      <alignment horizontal="center"/>
    </xf>
    <xf numFmtId="165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Alignment="1" applyProtection="1">
      <alignment horizontal="right"/>
    </xf>
    <xf numFmtId="165" fontId="3" fillId="0" borderId="0" xfId="0" applyNumberFormat="1" applyFont="1" applyBorder="1" applyProtection="1"/>
    <xf numFmtId="39" fontId="3" fillId="0" borderId="0" xfId="0" applyNumberFormat="1" applyFont="1" applyAlignment="1" applyProtection="1">
      <alignment horizontal="fill"/>
    </xf>
    <xf numFmtId="165" fontId="3" fillId="0" borderId="0" xfId="0" applyNumberFormat="1" applyFont="1" applyAlignment="1">
      <alignment horizontal="right"/>
    </xf>
    <xf numFmtId="165" fontId="4" fillId="0" borderId="2" xfId="0" applyNumberFormat="1" applyFont="1" applyBorder="1" applyAlignment="1" applyProtection="1">
      <alignment horizontal="fill"/>
    </xf>
    <xf numFmtId="165" fontId="3" fillId="0" borderId="2" xfId="0" applyNumberFormat="1" applyFont="1" applyBorder="1" applyAlignment="1" applyProtection="1">
      <alignment horizontal="fill"/>
    </xf>
    <xf numFmtId="165" fontId="3" fillId="0" borderId="0" xfId="0" applyNumberFormat="1" applyFont="1" applyBorder="1" applyAlignment="1">
      <alignment horizontal="right"/>
    </xf>
    <xf numFmtId="37" fontId="3" fillId="0" borderId="0" xfId="0" applyNumberFormat="1" applyFont="1" applyProtection="1"/>
    <xf numFmtId="39" fontId="3" fillId="0" borderId="0" xfId="0" applyNumberFormat="1" applyFont="1" applyAlignment="1" applyProtection="1"/>
    <xf numFmtId="37" fontId="3" fillId="0" borderId="0" xfId="0" applyNumberFormat="1" applyFont="1" applyAlignment="1"/>
    <xf numFmtId="165" fontId="3" fillId="0" borderId="0" xfId="0" quotePrefix="1" applyNumberFormat="1" applyFont="1" applyAlignment="1">
      <alignment horizontal="right"/>
    </xf>
    <xf numFmtId="37" fontId="3" fillId="0" borderId="0" xfId="0" applyNumberFormat="1" applyFont="1" applyAlignment="1" applyProtection="1">
      <alignment horizontal="left" shrinkToFit="1"/>
    </xf>
    <xf numFmtId="165" fontId="3" fillId="0" borderId="2" xfId="0" applyNumberFormat="1" applyFont="1" applyBorder="1" applyAlignment="1" applyProtection="1">
      <alignment horizontal="left"/>
    </xf>
    <xf numFmtId="37" fontId="3" fillId="0" borderId="2" xfId="0" applyNumberFormat="1" applyFont="1" applyBorder="1"/>
    <xf numFmtId="0" fontId="3" fillId="0" borderId="0" xfId="0" applyNumberFormat="1" applyFont="1" applyAlignment="1">
      <alignment horizontal="center"/>
    </xf>
    <xf numFmtId="165" fontId="3" fillId="0" borderId="3" xfId="0" applyNumberFormat="1" applyFont="1" applyBorder="1" applyProtection="1"/>
    <xf numFmtId="43" fontId="3" fillId="0" borderId="0" xfId="1" applyFont="1" applyAlignment="1">
      <alignment horizontal="right"/>
    </xf>
    <xf numFmtId="165" fontId="3" fillId="0" borderId="0" xfId="0" applyNumberFormat="1" applyFont="1" applyBorder="1" applyAlignment="1" applyProtection="1">
      <alignment horizontal="center"/>
    </xf>
    <xf numFmtId="165" fontId="3" fillId="0" borderId="0" xfId="0" applyNumberFormat="1" applyFont="1" applyAlignment="1" applyProtection="1">
      <alignment horizontal="center"/>
    </xf>
    <xf numFmtId="165" fontId="3" fillId="0" borderId="0" xfId="0" quotePrefix="1" applyNumberFormat="1" applyFont="1" applyAlignment="1" applyProtection="1">
      <alignment horizontal="left"/>
    </xf>
    <xf numFmtId="165" fontId="3" fillId="0" borderId="0" xfId="0" quotePrefix="1" applyNumberFormat="1" applyFont="1" applyBorder="1" applyAlignment="1" applyProtection="1">
      <alignment horizontal="left"/>
    </xf>
    <xf numFmtId="165" fontId="3" fillId="0" borderId="0" xfId="1" applyNumberFormat="1" applyFont="1" applyBorder="1" applyAlignment="1" applyProtection="1">
      <alignment horizontal="right"/>
    </xf>
    <xf numFmtId="165" fontId="3" fillId="0" borderId="0" xfId="0" quotePrefix="1" applyNumberFormat="1" applyFont="1"/>
    <xf numFmtId="43" fontId="3" fillId="0" borderId="0" xfId="1" applyFont="1"/>
    <xf numFmtId="37" fontId="3" fillId="0" borderId="0" xfId="0" quotePrefix="1" applyNumberFormat="1" applyFont="1"/>
    <xf numFmtId="165" fontId="3" fillId="0" borderId="0" xfId="0" quotePrefix="1" applyNumberFormat="1" applyFont="1" applyAlignment="1" applyProtection="1"/>
    <xf numFmtId="37" fontId="3" fillId="0" borderId="0" xfId="0" applyNumberFormat="1" applyFont="1" applyBorder="1" applyAlignment="1">
      <alignment horizontal="left"/>
    </xf>
    <xf numFmtId="164" fontId="3" fillId="0" borderId="0" xfId="0" quotePrefix="1" applyNumberFormat="1" applyFont="1"/>
    <xf numFmtId="164" fontId="3" fillId="0" borderId="0" xfId="0" applyNumberFormat="1" applyFont="1" applyBorder="1"/>
    <xf numFmtId="164" fontId="3" fillId="0" borderId="2" xfId="0" applyNumberFormat="1" applyFont="1" applyBorder="1"/>
    <xf numFmtId="0" fontId="3" fillId="0" borderId="0" xfId="0" applyNumberFormat="1" applyFont="1" applyBorder="1" applyAlignment="1">
      <alignment horizontal="left"/>
    </xf>
    <xf numFmtId="165" fontId="3" fillId="0" borderId="0" xfId="0" quotePrefix="1" applyNumberFormat="1" applyFont="1" applyBorder="1"/>
    <xf numFmtId="165" fontId="3" fillId="0" borderId="0" xfId="0" quotePrefix="1" applyNumberFormat="1" applyFont="1" applyAlignment="1" applyProtection="1">
      <alignment horizontal="fill"/>
    </xf>
    <xf numFmtId="166" fontId="3" fillId="0" borderId="0" xfId="0" applyNumberFormat="1" applyFont="1"/>
    <xf numFmtId="164" fontId="3" fillId="0" borderId="0" xfId="0" applyNumberFormat="1" applyFont="1" applyAlignment="1" applyProtection="1">
      <alignment horizontal="left"/>
    </xf>
    <xf numFmtId="165" fontId="5" fillId="0" borderId="0" xfId="0" applyNumberFormat="1" applyFont="1"/>
    <xf numFmtId="164" fontId="5" fillId="0" borderId="0" xfId="0" applyNumberFormat="1" applyFont="1"/>
    <xf numFmtId="165" fontId="6" fillId="0" borderId="0" xfId="0" applyNumberFormat="1" applyFont="1"/>
    <xf numFmtId="43" fontId="3" fillId="0" borderId="0" xfId="1" applyFont="1" applyBorder="1"/>
    <xf numFmtId="39" fontId="3" fillId="0" borderId="0" xfId="0" applyNumberFormat="1" applyFont="1" applyAlignment="1">
      <alignment horizontal="left"/>
    </xf>
    <xf numFmtId="37" fontId="3" fillId="0" borderId="0" xfId="0" applyNumberFormat="1" applyFont="1" applyBorder="1" applyAlignment="1">
      <alignment horizontal="right"/>
    </xf>
    <xf numFmtId="39" fontId="3" fillId="0" borderId="1" xfId="0" applyNumberFormat="1" applyFont="1" applyBorder="1"/>
    <xf numFmtId="164" fontId="3" fillId="0" borderId="1" xfId="0" applyNumberFormat="1" applyFont="1" applyBorder="1" applyProtection="1"/>
    <xf numFmtId="164" fontId="3" fillId="0" borderId="4" xfId="0" applyNumberFormat="1" applyFont="1" applyBorder="1"/>
    <xf numFmtId="164" fontId="3" fillId="0" borderId="5" xfId="0" applyNumberFormat="1" applyFont="1" applyBorder="1"/>
    <xf numFmtId="164" fontId="3" fillId="0" borderId="0" xfId="0" applyNumberFormat="1" applyFont="1" applyAlignment="1" applyProtection="1">
      <alignment horizontal="fill"/>
    </xf>
    <xf numFmtId="165" fontId="7" fillId="0" borderId="0" xfId="0" applyNumberFormat="1" applyFont="1"/>
    <xf numFmtId="164" fontId="7" fillId="0" borderId="0" xfId="0" applyNumberFormat="1" applyFont="1"/>
    <xf numFmtId="37" fontId="7" fillId="0" borderId="0" xfId="0" applyNumberFormat="1" applyFont="1"/>
    <xf numFmtId="165" fontId="3" fillId="0" borderId="1" xfId="0" applyNumberFormat="1" applyFont="1" applyBorder="1" applyAlignment="1" applyProtection="1">
      <alignment horizontal="right"/>
    </xf>
    <xf numFmtId="165" fontId="3" fillId="0" borderId="1" xfId="0" applyNumberFormat="1" applyFont="1" applyBorder="1" applyProtection="1"/>
    <xf numFmtId="164" fontId="3" fillId="0" borderId="1" xfId="0" applyNumberFormat="1" applyFont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RIVE%20D\ROSE%20R\MGMNT%20REPORT-STILL2BPAID-2012\DECME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Sheet2"/>
      <sheetName val="Sheet3"/>
      <sheetName val="TOBEPAI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E12">
            <v>10000000</v>
          </cell>
          <cell r="N12">
            <v>10000000</v>
          </cell>
          <cell r="O12">
            <v>0</v>
          </cell>
          <cell r="X12">
            <v>0</v>
          </cell>
          <cell r="AA12">
            <v>10000000</v>
          </cell>
          <cell r="AB12">
            <v>32427115.939999998</v>
          </cell>
        </row>
        <row r="13">
          <cell r="E13">
            <v>1485240.65</v>
          </cell>
          <cell r="N13">
            <v>1485240.65</v>
          </cell>
          <cell r="O13">
            <v>0</v>
          </cell>
          <cell r="X13">
            <v>0</v>
          </cell>
          <cell r="AA13">
            <v>1485240.65</v>
          </cell>
          <cell r="AB13">
            <v>0</v>
          </cell>
        </row>
        <row r="14">
          <cell r="E14">
            <v>9158767.0999999996</v>
          </cell>
          <cell r="N14">
            <v>9158767.0999999996</v>
          </cell>
          <cell r="O14">
            <v>0</v>
          </cell>
          <cell r="X14">
            <v>0</v>
          </cell>
          <cell r="AA14">
            <v>9158767.0999999996</v>
          </cell>
          <cell r="AB14">
            <v>0</v>
          </cell>
        </row>
        <row r="15">
          <cell r="E15">
            <v>0</v>
          </cell>
          <cell r="H15">
            <v>0</v>
          </cell>
          <cell r="N15">
            <v>0</v>
          </cell>
          <cell r="O15">
            <v>0</v>
          </cell>
          <cell r="X15">
            <v>0</v>
          </cell>
          <cell r="AA15">
            <v>0</v>
          </cell>
          <cell r="AB15">
            <v>49699845.5</v>
          </cell>
        </row>
        <row r="16">
          <cell r="E16">
            <v>0</v>
          </cell>
          <cell r="H16">
            <v>0</v>
          </cell>
          <cell r="N16">
            <v>0</v>
          </cell>
          <cell r="O16">
            <v>0</v>
          </cell>
          <cell r="X16">
            <v>0</v>
          </cell>
          <cell r="AA16">
            <v>0</v>
          </cell>
          <cell r="AB16">
            <v>3930000</v>
          </cell>
        </row>
        <row r="17">
          <cell r="E17">
            <v>0</v>
          </cell>
          <cell r="H17">
            <v>0</v>
          </cell>
          <cell r="N17">
            <v>0</v>
          </cell>
          <cell r="O17">
            <v>0</v>
          </cell>
          <cell r="X17">
            <v>0</v>
          </cell>
          <cell r="Y17">
            <v>0</v>
          </cell>
          <cell r="AA17">
            <v>0</v>
          </cell>
          <cell r="AB17">
            <v>5281344.55</v>
          </cell>
        </row>
        <row r="21">
          <cell r="D21">
            <v>467406.95999999996</v>
          </cell>
          <cell r="O21">
            <v>467406.95999999996</v>
          </cell>
          <cell r="R21">
            <v>467406.95999999996</v>
          </cell>
        </row>
        <row r="22">
          <cell r="E22">
            <v>0</v>
          </cell>
          <cell r="N22">
            <v>0</v>
          </cell>
          <cell r="O22">
            <v>0</v>
          </cell>
          <cell r="X22">
            <v>0</v>
          </cell>
          <cell r="AA22">
            <v>0</v>
          </cell>
          <cell r="AB22">
            <v>65491730.5</v>
          </cell>
        </row>
        <row r="23">
          <cell r="E23">
            <v>2264731.2599999998</v>
          </cell>
          <cell r="N23">
            <v>2264731.2599999998</v>
          </cell>
          <cell r="O23">
            <v>0</v>
          </cell>
          <cell r="X23">
            <v>0</v>
          </cell>
          <cell r="AA23">
            <v>2264731.2599999998</v>
          </cell>
          <cell r="AB23">
            <v>0</v>
          </cell>
        </row>
        <row r="24">
          <cell r="E24">
            <v>0</v>
          </cell>
          <cell r="N24">
            <v>0</v>
          </cell>
          <cell r="O24">
            <v>0</v>
          </cell>
          <cell r="X24">
            <v>0</v>
          </cell>
          <cell r="AA24">
            <v>0</v>
          </cell>
          <cell r="AB24">
            <v>75920788.530000001</v>
          </cell>
        </row>
        <row r="25">
          <cell r="E25">
            <v>0</v>
          </cell>
          <cell r="N25">
            <v>0</v>
          </cell>
          <cell r="O25">
            <v>0</v>
          </cell>
          <cell r="X25">
            <v>0</v>
          </cell>
          <cell r="AA25">
            <v>0</v>
          </cell>
          <cell r="AB25">
            <v>2636031.41</v>
          </cell>
        </row>
        <row r="30">
          <cell r="E30">
            <v>0</v>
          </cell>
          <cell r="N30">
            <v>0</v>
          </cell>
          <cell r="O30">
            <v>194946.81</v>
          </cell>
          <cell r="P30">
            <v>522842.4</v>
          </cell>
          <cell r="X30">
            <v>717789.21</v>
          </cell>
          <cell r="AA30">
            <v>717789.21</v>
          </cell>
          <cell r="AB30">
            <v>18817672.069999997</v>
          </cell>
        </row>
        <row r="31">
          <cell r="E31">
            <v>1714794.59</v>
          </cell>
          <cell r="N31">
            <v>1714794.59</v>
          </cell>
          <cell r="O31">
            <v>0</v>
          </cell>
          <cell r="X31">
            <v>0</v>
          </cell>
          <cell r="AA31">
            <v>1714794.59</v>
          </cell>
          <cell r="AB31">
            <v>0</v>
          </cell>
        </row>
        <row r="32">
          <cell r="E32">
            <v>1763926.02</v>
          </cell>
          <cell r="N32">
            <v>1763926.02</v>
          </cell>
          <cell r="O32">
            <v>0</v>
          </cell>
          <cell r="X32">
            <v>0</v>
          </cell>
          <cell r="AA32">
            <v>1763926.02</v>
          </cell>
          <cell r="AB32">
            <v>0</v>
          </cell>
        </row>
        <row r="33">
          <cell r="E33">
            <v>5589954.25</v>
          </cell>
          <cell r="N33">
            <v>5589954.25</v>
          </cell>
          <cell r="O33">
            <v>0</v>
          </cell>
          <cell r="X33">
            <v>0</v>
          </cell>
          <cell r="AA33">
            <v>5589954.25</v>
          </cell>
          <cell r="AB33">
            <v>0</v>
          </cell>
        </row>
        <row r="34">
          <cell r="E34">
            <v>8704000</v>
          </cell>
          <cell r="N34">
            <v>8704000</v>
          </cell>
          <cell r="O34">
            <v>0</v>
          </cell>
          <cell r="X34">
            <v>0</v>
          </cell>
          <cell r="AA34">
            <v>8704000</v>
          </cell>
          <cell r="AB34">
            <v>0</v>
          </cell>
        </row>
        <row r="35">
          <cell r="E35">
            <v>0</v>
          </cell>
          <cell r="N35">
            <v>0</v>
          </cell>
          <cell r="O35">
            <v>0</v>
          </cell>
          <cell r="X35">
            <v>0</v>
          </cell>
          <cell r="AA35">
            <v>0</v>
          </cell>
          <cell r="AB35">
            <v>22797780.879999999</v>
          </cell>
        </row>
        <row r="36">
          <cell r="E36">
            <v>0</v>
          </cell>
          <cell r="N36">
            <v>0</v>
          </cell>
          <cell r="O36">
            <v>0</v>
          </cell>
          <cell r="X36">
            <v>0</v>
          </cell>
          <cell r="AA36">
            <v>0</v>
          </cell>
          <cell r="AB36">
            <v>19579161.579999998</v>
          </cell>
        </row>
        <row r="37">
          <cell r="E37">
            <v>0</v>
          </cell>
          <cell r="N37">
            <v>0</v>
          </cell>
          <cell r="O37">
            <v>0</v>
          </cell>
          <cell r="X37">
            <v>0</v>
          </cell>
          <cell r="AA37">
            <v>0</v>
          </cell>
          <cell r="AB37">
            <v>4441043.8</v>
          </cell>
        </row>
        <row r="41">
          <cell r="D41">
            <v>1024929.3500000001</v>
          </cell>
          <cell r="O41">
            <v>1024929.3500000001</v>
          </cell>
          <cell r="R41">
            <v>1024929.3500000001</v>
          </cell>
        </row>
        <row r="42">
          <cell r="E42">
            <v>0</v>
          </cell>
          <cell r="N42">
            <v>0</v>
          </cell>
          <cell r="O42">
            <v>181752.55</v>
          </cell>
          <cell r="S42">
            <v>39241.199999999997</v>
          </cell>
          <cell r="X42">
            <v>181752.55</v>
          </cell>
          <cell r="AA42">
            <v>181752.55</v>
          </cell>
          <cell r="AB42">
            <v>19134594.399999999</v>
          </cell>
        </row>
        <row r="43">
          <cell r="E43">
            <v>1977546.91</v>
          </cell>
          <cell r="N43">
            <v>1977546.91</v>
          </cell>
          <cell r="O43">
            <v>0</v>
          </cell>
          <cell r="X43">
            <v>0</v>
          </cell>
          <cell r="AA43">
            <v>1977546.91</v>
          </cell>
          <cell r="AB43">
            <v>0</v>
          </cell>
        </row>
        <row r="44">
          <cell r="E44">
            <v>6975852</v>
          </cell>
          <cell r="N44">
            <v>6975852</v>
          </cell>
          <cell r="O44">
            <v>0</v>
          </cell>
          <cell r="X44">
            <v>0</v>
          </cell>
          <cell r="AA44">
            <v>6975852</v>
          </cell>
          <cell r="AB44">
            <v>0</v>
          </cell>
        </row>
        <row r="45">
          <cell r="E45">
            <v>0</v>
          </cell>
          <cell r="N45">
            <v>0</v>
          </cell>
          <cell r="O45">
            <v>0</v>
          </cell>
          <cell r="X45">
            <v>0</v>
          </cell>
          <cell r="AA45">
            <v>0</v>
          </cell>
          <cell r="AB45">
            <v>2485399.46</v>
          </cell>
        </row>
        <row r="50">
          <cell r="E50">
            <v>0</v>
          </cell>
          <cell r="N50">
            <v>0</v>
          </cell>
          <cell r="O50">
            <v>23528628.100000001</v>
          </cell>
          <cell r="S50">
            <v>10110608.039999999</v>
          </cell>
          <cell r="T50">
            <v>5298841.96</v>
          </cell>
          <cell r="X50">
            <v>23528628.100000001</v>
          </cell>
          <cell r="AA50">
            <v>23528628.100000001</v>
          </cell>
          <cell r="AB50">
            <v>-0.10000000149011612</v>
          </cell>
        </row>
        <row r="51">
          <cell r="E51">
            <v>3180311.69</v>
          </cell>
          <cell r="N51">
            <v>3180311.69</v>
          </cell>
          <cell r="O51">
            <v>0</v>
          </cell>
          <cell r="X51">
            <v>0</v>
          </cell>
          <cell r="AA51">
            <v>3180311.69</v>
          </cell>
          <cell r="AB51">
            <v>0</v>
          </cell>
        </row>
        <row r="53">
          <cell r="F53">
            <v>30000000</v>
          </cell>
          <cell r="N53">
            <v>30000000</v>
          </cell>
          <cell r="O53">
            <v>0</v>
          </cell>
          <cell r="X53">
            <v>0</v>
          </cell>
          <cell r="AA53">
            <v>30000000</v>
          </cell>
          <cell r="AB53">
            <v>0</v>
          </cell>
        </row>
        <row r="54">
          <cell r="E54">
            <v>13793000</v>
          </cell>
          <cell r="N54">
            <v>13793000</v>
          </cell>
          <cell r="O54">
            <v>0</v>
          </cell>
          <cell r="X54">
            <v>0</v>
          </cell>
          <cell r="AA54">
            <v>13793000</v>
          </cell>
          <cell r="AB54">
            <v>0</v>
          </cell>
        </row>
        <row r="55">
          <cell r="E55">
            <v>11432000</v>
          </cell>
          <cell r="N55">
            <v>11432000</v>
          </cell>
          <cell r="O55">
            <v>0</v>
          </cell>
          <cell r="X55">
            <v>0</v>
          </cell>
          <cell r="AA55">
            <v>11432000</v>
          </cell>
          <cell r="AB55">
            <v>0</v>
          </cell>
        </row>
        <row r="56">
          <cell r="E56">
            <v>4500000</v>
          </cell>
          <cell r="N56">
            <v>4500000</v>
          </cell>
          <cell r="O56">
            <v>1523732.22</v>
          </cell>
          <cell r="X56">
            <v>1523732.22</v>
          </cell>
          <cell r="AA56">
            <v>6023732.2199999997</v>
          </cell>
          <cell r="AB56">
            <v>8976267.7799999993</v>
          </cell>
        </row>
        <row r="57">
          <cell r="E57">
            <v>0</v>
          </cell>
          <cell r="N57">
            <v>0</v>
          </cell>
          <cell r="O57">
            <v>356044.7</v>
          </cell>
          <cell r="S57">
            <v>316735.62</v>
          </cell>
          <cell r="X57">
            <v>356044.7</v>
          </cell>
          <cell r="AA57">
            <v>356044.7</v>
          </cell>
          <cell r="AB57">
            <v>13622.669999999984</v>
          </cell>
        </row>
        <row r="58">
          <cell r="E58">
            <v>0</v>
          </cell>
          <cell r="N58">
            <v>0</v>
          </cell>
          <cell r="O58">
            <v>25467.5</v>
          </cell>
          <cell r="X58">
            <v>25467.5</v>
          </cell>
          <cell r="AA58">
            <v>25467.5</v>
          </cell>
          <cell r="AB58">
            <v>1405594.69</v>
          </cell>
        </row>
        <row r="63">
          <cell r="D63">
            <v>112010198.67999999</v>
          </cell>
          <cell r="E63">
            <v>0</v>
          </cell>
          <cell r="H63">
            <v>0</v>
          </cell>
          <cell r="N63">
            <v>0</v>
          </cell>
          <cell r="O63">
            <v>84243.3</v>
          </cell>
          <cell r="S63">
            <v>1154237</v>
          </cell>
          <cell r="X63">
            <v>84243.3</v>
          </cell>
          <cell r="AA63">
            <v>84243.3</v>
          </cell>
          <cell r="AB63">
            <v>111925955.38</v>
          </cell>
        </row>
        <row r="64">
          <cell r="D64">
            <v>3027354.92</v>
          </cell>
          <cell r="E64">
            <v>3027354.92</v>
          </cell>
          <cell r="H64">
            <v>3027354.92</v>
          </cell>
          <cell r="N64">
            <v>3027354.92</v>
          </cell>
          <cell r="O64">
            <v>0</v>
          </cell>
          <cell r="R64">
            <v>0</v>
          </cell>
          <cell r="X64">
            <v>0</v>
          </cell>
          <cell r="Y64">
            <v>3027354.92</v>
          </cell>
          <cell r="Z64">
            <v>0</v>
          </cell>
          <cell r="AA64">
            <v>3027354.92</v>
          </cell>
          <cell r="AB64">
            <v>0</v>
          </cell>
        </row>
        <row r="65">
          <cell r="E65">
            <v>30000000</v>
          </cell>
          <cell r="F65">
            <v>30000000</v>
          </cell>
          <cell r="N65">
            <v>60000000</v>
          </cell>
          <cell r="O65">
            <v>0</v>
          </cell>
          <cell r="R65">
            <v>0</v>
          </cell>
          <cell r="X65">
            <v>0</v>
          </cell>
          <cell r="Z65">
            <v>0</v>
          </cell>
          <cell r="AA65">
            <v>60000000</v>
          </cell>
          <cell r="AB65">
            <v>0</v>
          </cell>
        </row>
        <row r="66">
          <cell r="D66">
            <v>600000</v>
          </cell>
          <cell r="E66">
            <v>600000</v>
          </cell>
          <cell r="H66">
            <v>600000</v>
          </cell>
          <cell r="N66">
            <v>600000</v>
          </cell>
          <cell r="O66">
            <v>0</v>
          </cell>
          <cell r="R66">
            <v>0</v>
          </cell>
          <cell r="X66">
            <v>0</v>
          </cell>
          <cell r="Y66">
            <v>600000</v>
          </cell>
          <cell r="Z66">
            <v>0</v>
          </cell>
          <cell r="AA66">
            <v>600000</v>
          </cell>
          <cell r="AB66">
            <v>0</v>
          </cell>
        </row>
        <row r="67">
          <cell r="D67">
            <v>4000000</v>
          </cell>
          <cell r="E67">
            <v>4000000</v>
          </cell>
          <cell r="H67">
            <v>4000000</v>
          </cell>
          <cell r="N67">
            <v>4000000</v>
          </cell>
          <cell r="O67">
            <v>0</v>
          </cell>
          <cell r="R67">
            <v>0</v>
          </cell>
          <cell r="X67">
            <v>0</v>
          </cell>
          <cell r="Y67">
            <v>4000000</v>
          </cell>
          <cell r="Z67">
            <v>0</v>
          </cell>
          <cell r="AA67">
            <v>4000000</v>
          </cell>
          <cell r="AB67">
            <v>0</v>
          </cell>
        </row>
        <row r="68">
          <cell r="D68">
            <v>39033642.659999996</v>
          </cell>
          <cell r="E68">
            <v>0</v>
          </cell>
          <cell r="H68">
            <v>0</v>
          </cell>
          <cell r="N68">
            <v>0</v>
          </cell>
          <cell r="O68">
            <v>2280498.67</v>
          </cell>
          <cell r="R68">
            <v>2280498.67</v>
          </cell>
          <cell r="V68">
            <v>0</v>
          </cell>
          <cell r="X68">
            <v>2280498.67</v>
          </cell>
          <cell r="Y68">
            <v>2280498.67</v>
          </cell>
          <cell r="Z68">
            <v>36753143.989999995</v>
          </cell>
          <cell r="AA68">
            <v>2280498.67</v>
          </cell>
          <cell r="AB68">
            <v>36753143.989999995</v>
          </cell>
        </row>
        <row r="69">
          <cell r="D69">
            <v>4467556.75</v>
          </cell>
          <cell r="E69">
            <v>0</v>
          </cell>
          <cell r="H69">
            <v>0</v>
          </cell>
          <cell r="N69">
            <v>0</v>
          </cell>
          <cell r="O69">
            <v>0</v>
          </cell>
          <cell r="R69">
            <v>0</v>
          </cell>
          <cell r="X69">
            <v>0</v>
          </cell>
          <cell r="Y69">
            <v>0</v>
          </cell>
          <cell r="Z69">
            <v>4467556.75</v>
          </cell>
          <cell r="AA69">
            <v>0</v>
          </cell>
          <cell r="AB69">
            <v>4467556.75</v>
          </cell>
        </row>
        <row r="70">
          <cell r="D70">
            <v>10000000</v>
          </cell>
          <cell r="E70">
            <v>5814761.4299999997</v>
          </cell>
          <cell r="H70">
            <v>5814761.4299999997</v>
          </cell>
          <cell r="N70">
            <v>5814761.4299999997</v>
          </cell>
          <cell r="O70">
            <v>835222.3</v>
          </cell>
          <cell r="R70">
            <v>835222.3</v>
          </cell>
          <cell r="X70">
            <v>835222.3</v>
          </cell>
          <cell r="Y70">
            <v>6649983.7299999995</v>
          </cell>
          <cell r="Z70">
            <v>3350016.2700000005</v>
          </cell>
          <cell r="AA70">
            <v>6649983.7299999995</v>
          </cell>
          <cell r="AB70">
            <v>3350016.2700000005</v>
          </cell>
        </row>
        <row r="82">
          <cell r="E82">
            <v>0</v>
          </cell>
          <cell r="N82">
            <v>0</v>
          </cell>
          <cell r="O82">
            <v>0</v>
          </cell>
          <cell r="X82">
            <v>0</v>
          </cell>
          <cell r="AA82">
            <v>0</v>
          </cell>
          <cell r="AB82">
            <v>0</v>
          </cell>
        </row>
        <row r="83">
          <cell r="E83">
            <v>1235420.77</v>
          </cell>
          <cell r="N83">
            <v>1235420.77</v>
          </cell>
          <cell r="O83">
            <v>0</v>
          </cell>
          <cell r="X83">
            <v>0</v>
          </cell>
          <cell r="AA83">
            <v>1235420.77</v>
          </cell>
          <cell r="AB83">
            <v>0</v>
          </cell>
        </row>
        <row r="84">
          <cell r="E84">
            <v>4774698.6500000004</v>
          </cell>
          <cell r="N84">
            <v>4774698.6500000004</v>
          </cell>
          <cell r="O84">
            <v>0</v>
          </cell>
          <cell r="X84">
            <v>0</v>
          </cell>
          <cell r="AA84">
            <v>4774698.6500000004</v>
          </cell>
          <cell r="AB84">
            <v>0</v>
          </cell>
        </row>
        <row r="85">
          <cell r="E85">
            <v>0</v>
          </cell>
          <cell r="N85">
            <v>0</v>
          </cell>
          <cell r="O85">
            <v>6711449.5999999996</v>
          </cell>
          <cell r="X85">
            <v>6711449.5999999996</v>
          </cell>
          <cell r="AA85">
            <v>6711449.5999999996</v>
          </cell>
          <cell r="AB85">
            <v>220920.05999999959</v>
          </cell>
        </row>
        <row r="86">
          <cell r="E86">
            <v>0</v>
          </cell>
          <cell r="N86">
            <v>0</v>
          </cell>
          <cell r="O86">
            <v>10712833.529999999</v>
          </cell>
          <cell r="X86">
            <v>10712833.529999999</v>
          </cell>
          <cell r="AA86">
            <v>10712833.529999999</v>
          </cell>
          <cell r="AB86">
            <v>0</v>
          </cell>
        </row>
        <row r="87">
          <cell r="E87">
            <v>5000000</v>
          </cell>
          <cell r="N87">
            <v>5000000</v>
          </cell>
          <cell r="O87">
            <v>0</v>
          </cell>
          <cell r="X87">
            <v>0</v>
          </cell>
          <cell r="AA87">
            <v>5000000</v>
          </cell>
          <cell r="AB87">
            <v>0</v>
          </cell>
        </row>
        <row r="92">
          <cell r="E92">
            <v>0</v>
          </cell>
          <cell r="N92">
            <v>0</v>
          </cell>
          <cell r="O92">
            <v>0</v>
          </cell>
          <cell r="X92">
            <v>0</v>
          </cell>
          <cell r="AA92">
            <v>0</v>
          </cell>
          <cell r="AB92">
            <v>6386316.3799999999</v>
          </cell>
        </row>
        <row r="93">
          <cell r="E93">
            <v>613984.02</v>
          </cell>
          <cell r="N93">
            <v>613984.02</v>
          </cell>
          <cell r="O93">
            <v>0</v>
          </cell>
          <cell r="X93">
            <v>0</v>
          </cell>
          <cell r="AA93">
            <v>613984.02</v>
          </cell>
          <cell r="AB93">
            <v>0</v>
          </cell>
        </row>
        <row r="94">
          <cell r="E94">
            <v>25000000</v>
          </cell>
          <cell r="N94">
            <v>25000000</v>
          </cell>
          <cell r="O94">
            <v>0</v>
          </cell>
          <cell r="X94">
            <v>0</v>
          </cell>
          <cell r="AA94">
            <v>25000000</v>
          </cell>
          <cell r="AB94">
            <v>0</v>
          </cell>
        </row>
        <row r="95">
          <cell r="E95">
            <v>95118</v>
          </cell>
          <cell r="N95">
            <v>95118</v>
          </cell>
          <cell r="O95">
            <v>1061487</v>
          </cell>
          <cell r="X95">
            <v>1061487</v>
          </cell>
          <cell r="AA95">
            <v>1156605</v>
          </cell>
          <cell r="AB95">
            <v>215988.81000000006</v>
          </cell>
        </row>
        <row r="96">
          <cell r="E96">
            <v>0</v>
          </cell>
          <cell r="N96">
            <v>0</v>
          </cell>
          <cell r="O96">
            <v>21920626.050000001</v>
          </cell>
          <cell r="X96">
            <v>21920626.050000001</v>
          </cell>
          <cell r="AA96">
            <v>21920626.050000001</v>
          </cell>
          <cell r="AB96">
            <v>0</v>
          </cell>
        </row>
        <row r="97">
          <cell r="E97">
            <v>0</v>
          </cell>
          <cell r="N97">
            <v>0</v>
          </cell>
          <cell r="O97">
            <v>0</v>
          </cell>
          <cell r="X97">
            <v>0</v>
          </cell>
          <cell r="AA97">
            <v>0</v>
          </cell>
          <cell r="AB97">
            <v>200000</v>
          </cell>
        </row>
        <row r="102">
          <cell r="E102">
            <v>0</v>
          </cell>
          <cell r="L102">
            <v>0</v>
          </cell>
          <cell r="N102">
            <v>0</v>
          </cell>
          <cell r="O102">
            <v>0</v>
          </cell>
          <cell r="S102">
            <v>0</v>
          </cell>
          <cell r="X102">
            <v>0</v>
          </cell>
          <cell r="AA102">
            <v>0</v>
          </cell>
          <cell r="AB102">
            <v>3538978.4</v>
          </cell>
        </row>
        <row r="103">
          <cell r="E103">
            <v>0</v>
          </cell>
          <cell r="N103">
            <v>0</v>
          </cell>
          <cell r="O103">
            <v>0</v>
          </cell>
          <cell r="X103">
            <v>0</v>
          </cell>
          <cell r="AA103">
            <v>0</v>
          </cell>
          <cell r="AB103">
            <v>0</v>
          </cell>
        </row>
        <row r="104">
          <cell r="E104">
            <v>181314.71</v>
          </cell>
          <cell r="L104">
            <v>0</v>
          </cell>
          <cell r="N104">
            <v>181314.71</v>
          </cell>
          <cell r="O104">
            <v>0</v>
          </cell>
          <cell r="S104">
            <v>0</v>
          </cell>
          <cell r="X104">
            <v>0</v>
          </cell>
          <cell r="AA104">
            <v>181314.71</v>
          </cell>
          <cell r="AB104">
            <v>0</v>
          </cell>
        </row>
        <row r="105">
          <cell r="E105">
            <v>0</v>
          </cell>
          <cell r="L105">
            <v>0</v>
          </cell>
          <cell r="N105">
            <v>0</v>
          </cell>
          <cell r="O105">
            <v>0</v>
          </cell>
          <cell r="X105">
            <v>0</v>
          </cell>
          <cell r="AA105">
            <v>0</v>
          </cell>
          <cell r="AB105">
            <v>1774247.49</v>
          </cell>
        </row>
        <row r="110">
          <cell r="E110">
            <v>3077761.39</v>
          </cell>
          <cell r="L110">
            <v>0</v>
          </cell>
          <cell r="N110">
            <v>3077761.39</v>
          </cell>
          <cell r="O110">
            <v>37527.26</v>
          </cell>
          <cell r="X110">
            <v>37527.26</v>
          </cell>
          <cell r="AA110">
            <v>3115288.65</v>
          </cell>
          <cell r="AB110">
            <v>495630.59000000008</v>
          </cell>
        </row>
        <row r="111">
          <cell r="E111">
            <v>3398326.04</v>
          </cell>
          <cell r="L111">
            <v>0</v>
          </cell>
          <cell r="N111">
            <v>3398326.04</v>
          </cell>
          <cell r="O111">
            <v>0</v>
          </cell>
          <cell r="X111">
            <v>0</v>
          </cell>
          <cell r="AA111">
            <v>3398326.04</v>
          </cell>
          <cell r="AB111">
            <v>0</v>
          </cell>
        </row>
        <row r="112">
          <cell r="E112">
            <v>1308680</v>
          </cell>
          <cell r="L112">
            <v>0</v>
          </cell>
          <cell r="N112">
            <v>1308680</v>
          </cell>
          <cell r="O112">
            <v>0</v>
          </cell>
          <cell r="X112">
            <v>0</v>
          </cell>
          <cell r="AA112">
            <v>1308680</v>
          </cell>
          <cell r="AB112">
            <v>0</v>
          </cell>
        </row>
        <row r="113">
          <cell r="E113">
            <v>1146860.75</v>
          </cell>
          <cell r="L113">
            <v>0</v>
          </cell>
          <cell r="N113">
            <v>1146860.75</v>
          </cell>
          <cell r="O113">
            <v>0</v>
          </cell>
          <cell r="X113">
            <v>0</v>
          </cell>
          <cell r="AA113">
            <v>1146860.75</v>
          </cell>
          <cell r="AB113">
            <v>0</v>
          </cell>
        </row>
        <row r="118">
          <cell r="N118">
            <v>0</v>
          </cell>
          <cell r="O118">
            <v>856134.24</v>
          </cell>
          <cell r="X118">
            <v>856134.24</v>
          </cell>
          <cell r="AB118">
            <v>0</v>
          </cell>
        </row>
        <row r="119">
          <cell r="E119">
            <v>6132528.6399999997</v>
          </cell>
          <cell r="N119">
            <v>6132528.6399999997</v>
          </cell>
          <cell r="O119">
            <v>0</v>
          </cell>
          <cell r="X119">
            <v>0</v>
          </cell>
          <cell r="AB119">
            <v>0</v>
          </cell>
        </row>
        <row r="120">
          <cell r="E120">
            <v>49000000</v>
          </cell>
          <cell r="F120">
            <v>4000000</v>
          </cell>
          <cell r="N120">
            <v>53000000</v>
          </cell>
          <cell r="O120">
            <v>0</v>
          </cell>
          <cell r="X120">
            <v>0</v>
          </cell>
          <cell r="AB120">
            <v>0</v>
          </cell>
        </row>
        <row r="121">
          <cell r="E121">
            <v>448459.17</v>
          </cell>
          <cell r="N121">
            <v>448459.17</v>
          </cell>
          <cell r="O121">
            <v>0</v>
          </cell>
          <cell r="X121">
            <v>0</v>
          </cell>
          <cell r="AB121">
            <v>0</v>
          </cell>
        </row>
        <row r="122">
          <cell r="E122">
            <v>0</v>
          </cell>
          <cell r="N122">
            <v>0</v>
          </cell>
          <cell r="O122">
            <v>1386884.14</v>
          </cell>
          <cell r="X122">
            <v>1386884.14</v>
          </cell>
          <cell r="AB122">
            <v>1063895.6599999999</v>
          </cell>
        </row>
        <row r="123">
          <cell r="E123">
            <v>0</v>
          </cell>
          <cell r="N123">
            <v>0</v>
          </cell>
          <cell r="O123">
            <v>5603896.2599999998</v>
          </cell>
          <cell r="X123">
            <v>5603896.2599999998</v>
          </cell>
          <cell r="AB123">
            <v>0</v>
          </cell>
        </row>
        <row r="132">
          <cell r="N132">
            <v>0</v>
          </cell>
          <cell r="X132">
            <v>0</v>
          </cell>
          <cell r="AB132">
            <v>59793042.420000002</v>
          </cell>
        </row>
        <row r="133">
          <cell r="E133">
            <v>1838599</v>
          </cell>
          <cell r="N133">
            <v>1838599</v>
          </cell>
          <cell r="X133">
            <v>0</v>
          </cell>
          <cell r="AB133">
            <v>0</v>
          </cell>
        </row>
        <row r="134">
          <cell r="E134">
            <v>5389000</v>
          </cell>
          <cell r="N134">
            <v>5389000</v>
          </cell>
          <cell r="X134">
            <v>0</v>
          </cell>
          <cell r="AB134">
            <v>0</v>
          </cell>
        </row>
        <row r="135">
          <cell r="E135">
            <v>150000000</v>
          </cell>
          <cell r="F135">
            <v>30000000</v>
          </cell>
          <cell r="N135">
            <v>180000000</v>
          </cell>
          <cell r="X135">
            <v>0</v>
          </cell>
          <cell r="AB135">
            <v>0</v>
          </cell>
        </row>
        <row r="136">
          <cell r="N136">
            <v>0</v>
          </cell>
          <cell r="O136">
            <v>19255035.870000001</v>
          </cell>
          <cell r="X136">
            <v>19255035.870000001</v>
          </cell>
          <cell r="AB136">
            <v>0</v>
          </cell>
        </row>
        <row r="137">
          <cell r="N137">
            <v>0</v>
          </cell>
          <cell r="X137">
            <v>0</v>
          </cell>
          <cell r="AB137">
            <v>7373000</v>
          </cell>
        </row>
        <row r="138">
          <cell r="N138">
            <v>0</v>
          </cell>
          <cell r="X138">
            <v>0</v>
          </cell>
          <cell r="AB138">
            <v>3251526.28</v>
          </cell>
        </row>
        <row r="143">
          <cell r="N143">
            <v>0</v>
          </cell>
          <cell r="X143">
            <v>0</v>
          </cell>
          <cell r="AB143">
            <v>25116240.760000002</v>
          </cell>
        </row>
        <row r="144">
          <cell r="E144">
            <v>5872897.0559999999</v>
          </cell>
          <cell r="N144">
            <v>5872897.0559999999</v>
          </cell>
          <cell r="X144">
            <v>0</v>
          </cell>
          <cell r="AB144">
            <v>3.9999997243285179E-3</v>
          </cell>
        </row>
        <row r="145">
          <cell r="N145">
            <v>0</v>
          </cell>
          <cell r="O145">
            <v>645730.74</v>
          </cell>
          <cell r="X145">
            <v>645730.74</v>
          </cell>
          <cell r="AB145">
            <v>5007441.41</v>
          </cell>
        </row>
        <row r="146">
          <cell r="N146">
            <v>0</v>
          </cell>
          <cell r="X146">
            <v>0</v>
          </cell>
          <cell r="AB146">
            <v>6848000</v>
          </cell>
        </row>
        <row r="147">
          <cell r="N147">
            <v>0</v>
          </cell>
          <cell r="X147">
            <v>0</v>
          </cell>
          <cell r="AB147">
            <v>28036.2</v>
          </cell>
        </row>
        <row r="148">
          <cell r="N148">
            <v>0</v>
          </cell>
          <cell r="X148">
            <v>0</v>
          </cell>
          <cell r="AB148">
            <v>3500000</v>
          </cell>
        </row>
        <row r="149">
          <cell r="AA149" t="str">
            <v>-</v>
          </cell>
          <cell r="AB149" t="str">
            <v>------------------------</v>
          </cell>
        </row>
        <row r="150">
          <cell r="AA150">
            <v>0</v>
          </cell>
          <cell r="AB150">
            <v>40499718.374000005</v>
          </cell>
        </row>
        <row r="151">
          <cell r="AA151" t="str">
            <v>-</v>
          </cell>
          <cell r="AB151" t="str">
            <v>------------------------</v>
          </cell>
        </row>
        <row r="152">
          <cell r="O152">
            <v>1439881.3900000001</v>
          </cell>
        </row>
        <row r="153">
          <cell r="N153">
            <v>0</v>
          </cell>
          <cell r="O153">
            <v>2738447.82</v>
          </cell>
          <cell r="X153">
            <v>2738447.82</v>
          </cell>
          <cell r="AB153">
            <v>6862342.7699999958</v>
          </cell>
        </row>
        <row r="154">
          <cell r="E154">
            <v>1830380</v>
          </cell>
          <cell r="N154">
            <v>1830380</v>
          </cell>
          <cell r="X154">
            <v>0</v>
          </cell>
          <cell r="AB154">
            <v>0</v>
          </cell>
        </row>
        <row r="155">
          <cell r="N155">
            <v>0</v>
          </cell>
          <cell r="O155">
            <v>29103284.93</v>
          </cell>
          <cell r="X155">
            <v>29103284.93</v>
          </cell>
          <cell r="AB155">
            <v>0</v>
          </cell>
        </row>
        <row r="156">
          <cell r="N156">
            <v>0</v>
          </cell>
          <cell r="O156">
            <v>10700263.029999999</v>
          </cell>
          <cell r="X156">
            <v>10700263.029999999</v>
          </cell>
          <cell r="AB156">
            <v>0</v>
          </cell>
        </row>
        <row r="157">
          <cell r="E157">
            <v>11212250</v>
          </cell>
          <cell r="N157">
            <v>11212250</v>
          </cell>
          <cell r="O157">
            <v>0</v>
          </cell>
          <cell r="X157">
            <v>0</v>
          </cell>
          <cell r="AB157">
            <v>0</v>
          </cell>
        </row>
        <row r="158">
          <cell r="E158">
            <v>280000000</v>
          </cell>
          <cell r="F158">
            <v>30000000</v>
          </cell>
          <cell r="N158">
            <v>310000000</v>
          </cell>
          <cell r="O158">
            <v>0</v>
          </cell>
          <cell r="X158">
            <v>0</v>
          </cell>
          <cell r="AB158">
            <v>0</v>
          </cell>
        </row>
        <row r="159">
          <cell r="E159">
            <v>5000000</v>
          </cell>
          <cell r="N159">
            <v>5000000</v>
          </cell>
          <cell r="O159">
            <v>0</v>
          </cell>
          <cell r="X159">
            <v>0</v>
          </cell>
          <cell r="AB159">
            <v>0</v>
          </cell>
        </row>
        <row r="160">
          <cell r="N160">
            <v>0</v>
          </cell>
          <cell r="O160">
            <v>0</v>
          </cell>
          <cell r="X160">
            <v>0</v>
          </cell>
          <cell r="Y160">
            <v>0</v>
          </cell>
          <cell r="Z160">
            <v>1125000</v>
          </cell>
          <cell r="AB160">
            <v>1125000</v>
          </cell>
        </row>
        <row r="165">
          <cell r="N165">
            <v>0</v>
          </cell>
          <cell r="X165">
            <v>0</v>
          </cell>
          <cell r="AB165">
            <v>0</v>
          </cell>
        </row>
        <row r="166">
          <cell r="E166">
            <v>4428422</v>
          </cell>
          <cell r="N166">
            <v>4428422</v>
          </cell>
          <cell r="X166">
            <v>0</v>
          </cell>
          <cell r="AB166">
            <v>0</v>
          </cell>
        </row>
        <row r="167">
          <cell r="N167">
            <v>0</v>
          </cell>
          <cell r="X167">
            <v>0</v>
          </cell>
          <cell r="AB167">
            <v>1336696.6599999999</v>
          </cell>
        </row>
        <row r="168">
          <cell r="N168">
            <v>0</v>
          </cell>
          <cell r="O168">
            <v>15909089.98</v>
          </cell>
          <cell r="X168">
            <v>15909089.98</v>
          </cell>
          <cell r="AB168">
            <v>0</v>
          </cell>
        </row>
        <row r="169">
          <cell r="E169">
            <v>4181290.31</v>
          </cell>
          <cell r="N169">
            <v>4181290.31</v>
          </cell>
          <cell r="X169">
            <v>0</v>
          </cell>
          <cell r="AB169">
            <v>0</v>
          </cell>
        </row>
        <row r="174">
          <cell r="E174">
            <v>0</v>
          </cell>
          <cell r="N174">
            <v>0</v>
          </cell>
          <cell r="O174">
            <v>432972.86</v>
          </cell>
          <cell r="X174">
            <v>432972.86</v>
          </cell>
          <cell r="AB174">
            <v>724890.87</v>
          </cell>
        </row>
        <row r="175">
          <cell r="E175">
            <v>2463241</v>
          </cell>
          <cell r="N175">
            <v>2463241</v>
          </cell>
          <cell r="O175">
            <v>0</v>
          </cell>
          <cell r="R175">
            <v>0</v>
          </cell>
          <cell r="X175">
            <v>0</v>
          </cell>
          <cell r="AB175">
            <v>0</v>
          </cell>
        </row>
        <row r="176">
          <cell r="E176">
            <v>8000000</v>
          </cell>
          <cell r="N176">
            <v>8000000</v>
          </cell>
          <cell r="O176">
            <v>0</v>
          </cell>
          <cell r="R176">
            <v>0</v>
          </cell>
          <cell r="X176">
            <v>0</v>
          </cell>
          <cell r="AB176">
            <v>0</v>
          </cell>
        </row>
        <row r="177">
          <cell r="E177">
            <v>132709379.03999999</v>
          </cell>
          <cell r="F177">
            <v>22000000</v>
          </cell>
          <cell r="N177">
            <v>154709379.03999999</v>
          </cell>
          <cell r="O177">
            <v>0</v>
          </cell>
          <cell r="R177">
            <v>0</v>
          </cell>
          <cell r="X177">
            <v>0</v>
          </cell>
          <cell r="AB177">
            <v>0</v>
          </cell>
        </row>
        <row r="178">
          <cell r="E178">
            <v>1207870.27</v>
          </cell>
          <cell r="N178">
            <v>1207870.27</v>
          </cell>
          <cell r="O178">
            <v>0</v>
          </cell>
          <cell r="X178">
            <v>0</v>
          </cell>
          <cell r="AB178">
            <v>0</v>
          </cell>
        </row>
        <row r="179">
          <cell r="H179">
            <v>0</v>
          </cell>
          <cell r="N179">
            <v>0</v>
          </cell>
          <cell r="O179">
            <v>18808958.52</v>
          </cell>
          <cell r="X179">
            <v>18808958.52</v>
          </cell>
          <cell r="AB179">
            <v>0</v>
          </cell>
        </row>
        <row r="180">
          <cell r="H180">
            <v>0</v>
          </cell>
          <cell r="N180">
            <v>0</v>
          </cell>
          <cell r="O180">
            <v>5978060.1200000001</v>
          </cell>
          <cell r="X180">
            <v>5978060.1200000001</v>
          </cell>
          <cell r="AB180">
            <v>722012.89999999944</v>
          </cell>
        </row>
        <row r="181">
          <cell r="H181">
            <v>0</v>
          </cell>
          <cell r="N181">
            <v>0</v>
          </cell>
          <cell r="X181">
            <v>0</v>
          </cell>
          <cell r="AB181">
            <v>434405</v>
          </cell>
        </row>
        <row r="186">
          <cell r="N186">
            <v>0</v>
          </cell>
          <cell r="X186">
            <v>0</v>
          </cell>
          <cell r="AB186">
            <v>11079011.720000001</v>
          </cell>
        </row>
        <row r="187">
          <cell r="E187">
            <v>5097746</v>
          </cell>
          <cell r="N187">
            <v>5097746</v>
          </cell>
          <cell r="X187">
            <v>0</v>
          </cell>
          <cell r="AB187">
            <v>0</v>
          </cell>
        </row>
        <row r="188">
          <cell r="E188">
            <v>3556595</v>
          </cell>
          <cell r="N188">
            <v>3556595</v>
          </cell>
          <cell r="X188">
            <v>0</v>
          </cell>
          <cell r="AB188">
            <v>0</v>
          </cell>
        </row>
        <row r="189">
          <cell r="N189">
            <v>0</v>
          </cell>
          <cell r="O189">
            <v>5530003.1900000004</v>
          </cell>
          <cell r="X189">
            <v>5530003.1900000004</v>
          </cell>
          <cell r="AB189">
            <v>5363517.3499999987</v>
          </cell>
        </row>
        <row r="190">
          <cell r="N190">
            <v>0</v>
          </cell>
          <cell r="O190">
            <v>5603896.2599999998</v>
          </cell>
          <cell r="X190">
            <v>5603896.2599999998</v>
          </cell>
          <cell r="AB190">
            <v>0</v>
          </cell>
        </row>
        <row r="195">
          <cell r="N195">
            <v>0</v>
          </cell>
          <cell r="X195">
            <v>0</v>
          </cell>
          <cell r="AB195">
            <v>36311.56</v>
          </cell>
        </row>
        <row r="197">
          <cell r="E197">
            <v>733455.1</v>
          </cell>
          <cell r="N197">
            <v>733455.1</v>
          </cell>
          <cell r="X197">
            <v>0</v>
          </cell>
          <cell r="AB197">
            <v>266544.90000000002</v>
          </cell>
        </row>
        <row r="198">
          <cell r="N198">
            <v>0</v>
          </cell>
          <cell r="X198">
            <v>0</v>
          </cell>
          <cell r="AB198">
            <v>500000</v>
          </cell>
        </row>
        <row r="208">
          <cell r="E208">
            <v>1500000</v>
          </cell>
          <cell r="N208">
            <v>1500000</v>
          </cell>
          <cell r="O208">
            <v>1250358.74</v>
          </cell>
          <cell r="X208">
            <v>1250358.74</v>
          </cell>
          <cell r="AA208">
            <v>2750358.74</v>
          </cell>
          <cell r="AB208">
            <v>13023518.029999999</v>
          </cell>
        </row>
        <row r="209">
          <cell r="E209">
            <v>6001800</v>
          </cell>
          <cell r="N209">
            <v>6001800</v>
          </cell>
          <cell r="O209">
            <v>0</v>
          </cell>
          <cell r="R209">
            <v>0</v>
          </cell>
          <cell r="X209">
            <v>0</v>
          </cell>
          <cell r="Y209">
            <v>6001800</v>
          </cell>
          <cell r="Z209">
            <v>0</v>
          </cell>
          <cell r="AA209">
            <v>6001800</v>
          </cell>
          <cell r="AB209">
            <v>0</v>
          </cell>
        </row>
        <row r="210">
          <cell r="E210">
            <v>7986192.0499999998</v>
          </cell>
          <cell r="N210">
            <v>7986192.0499999998</v>
          </cell>
          <cell r="O210">
            <v>0</v>
          </cell>
          <cell r="R210">
            <v>0</v>
          </cell>
          <cell r="X210">
            <v>0</v>
          </cell>
          <cell r="AA210">
            <v>7986192.0499999998</v>
          </cell>
          <cell r="AB210">
            <v>13807.950000000186</v>
          </cell>
        </row>
        <row r="211">
          <cell r="E211">
            <v>1511746.25</v>
          </cell>
          <cell r="N211">
            <v>1511746.25</v>
          </cell>
          <cell r="O211">
            <v>0</v>
          </cell>
          <cell r="R211">
            <v>0</v>
          </cell>
          <cell r="X211">
            <v>0</v>
          </cell>
          <cell r="Y211">
            <v>1511746.25</v>
          </cell>
          <cell r="Z211">
            <v>0</v>
          </cell>
          <cell r="AA211">
            <v>1511746.25</v>
          </cell>
          <cell r="AB211">
            <v>0</v>
          </cell>
        </row>
        <row r="212">
          <cell r="E212">
            <v>0</v>
          </cell>
          <cell r="N212">
            <v>0</v>
          </cell>
          <cell r="O212">
            <v>0</v>
          </cell>
          <cell r="R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</row>
        <row r="213">
          <cell r="E213">
            <v>0</v>
          </cell>
          <cell r="N213">
            <v>0</v>
          </cell>
          <cell r="O213">
            <v>141345.20000000001</v>
          </cell>
          <cell r="R213">
            <v>141345.20000000001</v>
          </cell>
          <cell r="X213">
            <v>141345.20000000001</v>
          </cell>
          <cell r="AA213">
            <v>141345.20000000001</v>
          </cell>
          <cell r="AB213">
            <v>12044344.800000001</v>
          </cell>
        </row>
        <row r="214">
          <cell r="E214">
            <v>0</v>
          </cell>
          <cell r="N214">
            <v>0</v>
          </cell>
          <cell r="O214">
            <v>0</v>
          </cell>
          <cell r="R214">
            <v>0</v>
          </cell>
          <cell r="X214">
            <v>0</v>
          </cell>
          <cell r="Y214">
            <v>0</v>
          </cell>
          <cell r="AA214">
            <v>0</v>
          </cell>
          <cell r="AB214">
            <v>549233.9</v>
          </cell>
        </row>
        <row r="219">
          <cell r="D219">
            <v>8363348.5300000003</v>
          </cell>
          <cell r="E219">
            <v>0</v>
          </cell>
          <cell r="H219">
            <v>0</v>
          </cell>
          <cell r="N219">
            <v>0</v>
          </cell>
          <cell r="O219">
            <v>5840441.9299999997</v>
          </cell>
          <cell r="X219">
            <v>5840441.9299999997</v>
          </cell>
          <cell r="AA219">
            <v>5840441.9299999997</v>
          </cell>
          <cell r="AB219">
            <v>2522906.6000000006</v>
          </cell>
        </row>
        <row r="220">
          <cell r="D220">
            <v>2002111.68</v>
          </cell>
          <cell r="E220">
            <v>2002111.68</v>
          </cell>
          <cell r="H220">
            <v>2002111.68</v>
          </cell>
          <cell r="N220">
            <v>2002111.68</v>
          </cell>
          <cell r="O220">
            <v>0</v>
          </cell>
          <cell r="R220">
            <v>0</v>
          </cell>
          <cell r="X220">
            <v>0</v>
          </cell>
          <cell r="Y220">
            <v>2002111.68</v>
          </cell>
          <cell r="Z220">
            <v>0</v>
          </cell>
          <cell r="AA220">
            <v>2002111.68</v>
          </cell>
          <cell r="AB220">
            <v>0</v>
          </cell>
        </row>
        <row r="221">
          <cell r="D221">
            <v>66643000</v>
          </cell>
          <cell r="E221">
            <v>66643000</v>
          </cell>
          <cell r="H221">
            <v>66643000</v>
          </cell>
          <cell r="N221">
            <v>66643000</v>
          </cell>
          <cell r="O221">
            <v>0</v>
          </cell>
          <cell r="R221">
            <v>0</v>
          </cell>
          <cell r="X221">
            <v>0</v>
          </cell>
          <cell r="Y221">
            <v>66643000</v>
          </cell>
          <cell r="Z221">
            <v>0</v>
          </cell>
          <cell r="AA221">
            <v>66643000</v>
          </cell>
          <cell r="AB221">
            <v>0</v>
          </cell>
        </row>
        <row r="222">
          <cell r="D222">
            <v>3358890.77</v>
          </cell>
          <cell r="E222">
            <v>3358890.77</v>
          </cell>
          <cell r="H222">
            <v>3358890.77</v>
          </cell>
          <cell r="N222">
            <v>3358890.77</v>
          </cell>
          <cell r="O222">
            <v>0</v>
          </cell>
          <cell r="R222">
            <v>0</v>
          </cell>
          <cell r="X222">
            <v>0</v>
          </cell>
          <cell r="Y222">
            <v>3358890.77</v>
          </cell>
          <cell r="Z222">
            <v>0</v>
          </cell>
          <cell r="AA222">
            <v>3358890.77</v>
          </cell>
          <cell r="AB222">
            <v>0</v>
          </cell>
        </row>
        <row r="223">
          <cell r="D223">
            <v>30402912.289999999</v>
          </cell>
          <cell r="E223">
            <v>0</v>
          </cell>
          <cell r="H223">
            <v>0</v>
          </cell>
          <cell r="N223">
            <v>0</v>
          </cell>
          <cell r="O223">
            <v>15770403.679999998</v>
          </cell>
          <cell r="R223">
            <v>15770403.679999998</v>
          </cell>
          <cell r="X223">
            <v>15770403.679999998</v>
          </cell>
          <cell r="Y223">
            <v>15770403.679999998</v>
          </cell>
          <cell r="Z223">
            <v>14632508.610000001</v>
          </cell>
          <cell r="AA223">
            <v>15770403.679999998</v>
          </cell>
          <cell r="AB223">
            <v>14632508.610000001</v>
          </cell>
        </row>
        <row r="224">
          <cell r="D224">
            <v>21464584.869999997</v>
          </cell>
          <cell r="E224">
            <v>0</v>
          </cell>
          <cell r="H224">
            <v>0</v>
          </cell>
          <cell r="N224">
            <v>0</v>
          </cell>
          <cell r="O224">
            <v>21464584.870000001</v>
          </cell>
          <cell r="R224">
            <v>21464584.870000001</v>
          </cell>
          <cell r="X224">
            <v>21464584.870000001</v>
          </cell>
          <cell r="Y224">
            <v>21464584.870000001</v>
          </cell>
          <cell r="Z224">
            <v>0</v>
          </cell>
          <cell r="AA224">
            <v>21464584.870000001</v>
          </cell>
          <cell r="AB224">
            <v>0</v>
          </cell>
        </row>
        <row r="228">
          <cell r="D228">
            <v>181752.55</v>
          </cell>
          <cell r="O228">
            <v>181752.55</v>
          </cell>
          <cell r="R228">
            <v>181752.55</v>
          </cell>
        </row>
        <row r="229">
          <cell r="E229">
            <v>0</v>
          </cell>
          <cell r="N229">
            <v>0</v>
          </cell>
          <cell r="O229">
            <v>0</v>
          </cell>
          <cell r="X229">
            <v>0</v>
          </cell>
          <cell r="AA229">
            <v>0</v>
          </cell>
          <cell r="AB229">
            <v>18211914.420000002</v>
          </cell>
        </row>
        <row r="230">
          <cell r="E230">
            <v>6525670.25</v>
          </cell>
          <cell r="N230">
            <v>6525670.25</v>
          </cell>
          <cell r="O230">
            <v>0</v>
          </cell>
          <cell r="X230">
            <v>0</v>
          </cell>
          <cell r="AA230">
            <v>6525670.25</v>
          </cell>
          <cell r="AB230">
            <v>0</v>
          </cell>
        </row>
        <row r="231">
          <cell r="E231">
            <v>1918446.35</v>
          </cell>
          <cell r="N231">
            <v>1918446.35</v>
          </cell>
          <cell r="O231">
            <v>0</v>
          </cell>
          <cell r="X231">
            <v>0</v>
          </cell>
          <cell r="AA231">
            <v>1918446.35</v>
          </cell>
          <cell r="AB231">
            <v>0</v>
          </cell>
        </row>
        <row r="232">
          <cell r="E232">
            <v>53471000</v>
          </cell>
          <cell r="N232">
            <v>53471000</v>
          </cell>
          <cell r="O232">
            <v>0</v>
          </cell>
          <cell r="X232">
            <v>0</v>
          </cell>
          <cell r="AA232">
            <v>53471000</v>
          </cell>
          <cell r="AB232">
            <v>0</v>
          </cell>
        </row>
        <row r="233">
          <cell r="E233">
            <v>10740906.75</v>
          </cell>
          <cell r="N233">
            <v>10740906.75</v>
          </cell>
          <cell r="O233">
            <v>0</v>
          </cell>
          <cell r="X233">
            <v>0</v>
          </cell>
          <cell r="AA233">
            <v>10740906.75</v>
          </cell>
          <cell r="AB233">
            <v>0</v>
          </cell>
        </row>
        <row r="234">
          <cell r="E234">
            <v>0</v>
          </cell>
          <cell r="N234">
            <v>0</v>
          </cell>
          <cell r="O234">
            <v>7001934.4500000002</v>
          </cell>
          <cell r="X234">
            <v>7001934.4500000002</v>
          </cell>
          <cell r="AA234">
            <v>7001934.4500000002</v>
          </cell>
          <cell r="AB234">
            <v>7770376.5599999996</v>
          </cell>
        </row>
        <row r="235">
          <cell r="E235">
            <v>0</v>
          </cell>
          <cell r="N235">
            <v>0</v>
          </cell>
          <cell r="O235">
            <v>10700263.029999999</v>
          </cell>
          <cell r="X235">
            <v>10700263.029999999</v>
          </cell>
          <cell r="AA235">
            <v>10700263.029999999</v>
          </cell>
          <cell r="AB235">
            <v>0</v>
          </cell>
        </row>
        <row r="240">
          <cell r="E240">
            <v>9500000</v>
          </cell>
          <cell r="N240">
            <v>9500000</v>
          </cell>
          <cell r="O240">
            <v>3310521.7</v>
          </cell>
          <cell r="X240">
            <v>3310521.7</v>
          </cell>
          <cell r="AA240">
            <v>12810521.699999999</v>
          </cell>
          <cell r="AB240">
            <v>9287887.4400000013</v>
          </cell>
        </row>
        <row r="241">
          <cell r="E241">
            <v>4998998</v>
          </cell>
          <cell r="H241">
            <v>4998998</v>
          </cell>
          <cell r="N241">
            <v>4998998</v>
          </cell>
          <cell r="O241">
            <v>0</v>
          </cell>
          <cell r="X241">
            <v>0</v>
          </cell>
          <cell r="AA241">
            <v>4998998</v>
          </cell>
          <cell r="AB241">
            <v>0</v>
          </cell>
        </row>
        <row r="242">
          <cell r="E242">
            <v>12905293.800000001</v>
          </cell>
          <cell r="H242">
            <v>12905293.800000001</v>
          </cell>
          <cell r="N242">
            <v>12905293.800000001</v>
          </cell>
          <cell r="O242">
            <v>0</v>
          </cell>
          <cell r="X242">
            <v>0</v>
          </cell>
          <cell r="AA242">
            <v>12905293.800000001</v>
          </cell>
          <cell r="AB242">
            <v>0</v>
          </cell>
        </row>
        <row r="243">
          <cell r="E243">
            <v>65638000</v>
          </cell>
          <cell r="H243">
            <v>65638000</v>
          </cell>
          <cell r="N243">
            <v>65638000</v>
          </cell>
          <cell r="O243">
            <v>0</v>
          </cell>
          <cell r="X243">
            <v>0</v>
          </cell>
          <cell r="AA243">
            <v>65638000</v>
          </cell>
          <cell r="AB243">
            <v>0</v>
          </cell>
        </row>
        <row r="244">
          <cell r="E244">
            <v>2082100.44</v>
          </cell>
          <cell r="H244">
            <v>2082100.44</v>
          </cell>
          <cell r="N244">
            <v>2082100.44</v>
          </cell>
          <cell r="O244">
            <v>0</v>
          </cell>
          <cell r="X244">
            <v>0</v>
          </cell>
          <cell r="AA244">
            <v>2082100.44</v>
          </cell>
          <cell r="AB244">
            <v>0</v>
          </cell>
        </row>
        <row r="245">
          <cell r="E245">
            <v>0</v>
          </cell>
          <cell r="H245">
            <v>0</v>
          </cell>
          <cell r="N245">
            <v>0</v>
          </cell>
          <cell r="O245">
            <v>7344521.1499999994</v>
          </cell>
          <cell r="X245">
            <v>7344521.1499999994</v>
          </cell>
          <cell r="AA245">
            <v>7344521.1499999994</v>
          </cell>
          <cell r="AB245">
            <v>0</v>
          </cell>
        </row>
        <row r="246">
          <cell r="E246">
            <v>0</v>
          </cell>
          <cell r="H246">
            <v>0</v>
          </cell>
          <cell r="N246">
            <v>0</v>
          </cell>
          <cell r="O246">
            <v>5603896.2599999998</v>
          </cell>
          <cell r="X246">
            <v>5603896.2599999998</v>
          </cell>
          <cell r="AA246">
            <v>5603896.2599999998</v>
          </cell>
          <cell r="AB246">
            <v>3374031.24</v>
          </cell>
        </row>
        <row r="251">
          <cell r="E251">
            <v>2000000</v>
          </cell>
          <cell r="N251">
            <v>2000000</v>
          </cell>
          <cell r="O251">
            <v>7857401.1699999999</v>
          </cell>
          <cell r="X251">
            <v>7857401.1699999999</v>
          </cell>
          <cell r="AA251">
            <v>9857401.1699999999</v>
          </cell>
          <cell r="AB251">
            <v>69970172.820000008</v>
          </cell>
        </row>
        <row r="252">
          <cell r="E252">
            <v>2084500</v>
          </cell>
          <cell r="N252">
            <v>2084500</v>
          </cell>
          <cell r="O252">
            <v>0</v>
          </cell>
          <cell r="X252">
            <v>0</v>
          </cell>
          <cell r="AA252">
            <v>2084500</v>
          </cell>
          <cell r="AB252">
            <v>0</v>
          </cell>
        </row>
        <row r="253">
          <cell r="E253">
            <v>20736000</v>
          </cell>
          <cell r="H253">
            <v>20736000</v>
          </cell>
          <cell r="N253">
            <v>20736000</v>
          </cell>
          <cell r="O253">
            <v>0</v>
          </cell>
          <cell r="X253">
            <v>0</v>
          </cell>
          <cell r="AA253">
            <v>20736000</v>
          </cell>
          <cell r="AB253">
            <v>0</v>
          </cell>
        </row>
        <row r="254">
          <cell r="E254">
            <v>3347773</v>
          </cell>
          <cell r="N254">
            <v>3347773</v>
          </cell>
          <cell r="O254">
            <v>0</v>
          </cell>
          <cell r="X254">
            <v>0</v>
          </cell>
          <cell r="AA254">
            <v>3347773</v>
          </cell>
          <cell r="AB254">
            <v>0.75</v>
          </cell>
        </row>
        <row r="255">
          <cell r="E255">
            <v>6720000</v>
          </cell>
          <cell r="H255">
            <v>6720000</v>
          </cell>
          <cell r="N255">
            <v>6720000</v>
          </cell>
          <cell r="O255">
            <v>0</v>
          </cell>
          <cell r="X255">
            <v>0</v>
          </cell>
          <cell r="AA255">
            <v>6720000</v>
          </cell>
          <cell r="AB255">
            <v>0</v>
          </cell>
        </row>
        <row r="256">
          <cell r="E256">
            <v>6697870</v>
          </cell>
          <cell r="H256">
            <v>6697870</v>
          </cell>
          <cell r="N256">
            <v>6697870</v>
          </cell>
          <cell r="O256">
            <v>0</v>
          </cell>
          <cell r="X256">
            <v>0</v>
          </cell>
          <cell r="AA256">
            <v>6697870</v>
          </cell>
          <cell r="AB256">
            <v>0</v>
          </cell>
        </row>
        <row r="257">
          <cell r="D257">
            <v>24800022.869999997</v>
          </cell>
          <cell r="E257">
            <v>0</v>
          </cell>
          <cell r="H257">
            <v>0</v>
          </cell>
          <cell r="N257">
            <v>0</v>
          </cell>
          <cell r="O257">
            <v>1249322.95</v>
          </cell>
          <cell r="X257">
            <v>1249322.95</v>
          </cell>
          <cell r="AA257">
            <v>1249322.95</v>
          </cell>
          <cell r="AB257">
            <v>23550699.919999998</v>
          </cell>
        </row>
        <row r="258">
          <cell r="D258">
            <v>5654204.3700000001</v>
          </cell>
          <cell r="E258">
            <v>0</v>
          </cell>
          <cell r="H258">
            <v>0</v>
          </cell>
          <cell r="N258">
            <v>0</v>
          </cell>
          <cell r="O258">
            <v>0</v>
          </cell>
          <cell r="R258">
            <v>0</v>
          </cell>
          <cell r="X258">
            <v>0</v>
          </cell>
          <cell r="AA258">
            <v>0</v>
          </cell>
          <cell r="AB258">
            <v>5654204.3700000001</v>
          </cell>
        </row>
        <row r="264">
          <cell r="E264">
            <v>0</v>
          </cell>
          <cell r="N264">
            <v>0</v>
          </cell>
          <cell r="O264">
            <v>0</v>
          </cell>
          <cell r="X264">
            <v>0</v>
          </cell>
          <cell r="AA264">
            <v>0</v>
          </cell>
          <cell r="AB264">
            <v>254173.54</v>
          </cell>
        </row>
        <row r="265">
          <cell r="E265">
            <v>3882200</v>
          </cell>
          <cell r="N265">
            <v>3882200</v>
          </cell>
          <cell r="O265">
            <v>0</v>
          </cell>
          <cell r="X265">
            <v>0</v>
          </cell>
          <cell r="Y265">
            <v>3882200</v>
          </cell>
          <cell r="AA265">
            <v>3882200</v>
          </cell>
          <cell r="AB265">
            <v>0</v>
          </cell>
        </row>
        <row r="266">
          <cell r="E266">
            <v>2917000</v>
          </cell>
          <cell r="N266">
            <v>2917000</v>
          </cell>
          <cell r="O266">
            <v>0</v>
          </cell>
          <cell r="X266">
            <v>0</v>
          </cell>
          <cell r="Y266">
            <v>2917000</v>
          </cell>
          <cell r="AA266">
            <v>2917000</v>
          </cell>
          <cell r="AB266">
            <v>0</v>
          </cell>
        </row>
        <row r="271">
          <cell r="E271">
            <v>0</v>
          </cell>
          <cell r="N271">
            <v>0</v>
          </cell>
          <cell r="O271">
            <v>6898964.4299999997</v>
          </cell>
          <cell r="S271">
            <v>210246.59999999992</v>
          </cell>
          <cell r="T271">
            <v>210246.6</v>
          </cell>
          <cell r="X271">
            <v>6898964.4299999997</v>
          </cell>
          <cell r="AA271">
            <v>6898964.4299999997</v>
          </cell>
          <cell r="AB271">
            <v>-517344.99999999907</v>
          </cell>
        </row>
        <row r="272">
          <cell r="E272">
            <v>2708365.92</v>
          </cell>
          <cell r="N272">
            <v>2708365.92</v>
          </cell>
          <cell r="O272">
            <v>0</v>
          </cell>
          <cell r="X272">
            <v>0</v>
          </cell>
          <cell r="AA272">
            <v>2708365.92</v>
          </cell>
          <cell r="AB272">
            <v>0</v>
          </cell>
        </row>
        <row r="273">
          <cell r="E273">
            <v>49855000</v>
          </cell>
          <cell r="N273">
            <v>49855000</v>
          </cell>
          <cell r="O273">
            <v>0</v>
          </cell>
          <cell r="X273">
            <v>0</v>
          </cell>
          <cell r="AA273">
            <v>49855000</v>
          </cell>
          <cell r="AB273">
            <v>0</v>
          </cell>
        </row>
        <row r="274">
          <cell r="E274">
            <v>0</v>
          </cell>
          <cell r="N274">
            <v>0</v>
          </cell>
          <cell r="O274">
            <v>10256792.35</v>
          </cell>
          <cell r="X274">
            <v>10256792.35</v>
          </cell>
          <cell r="AA274">
            <v>10256792.35</v>
          </cell>
          <cell r="AB274">
            <v>0</v>
          </cell>
        </row>
        <row r="280">
          <cell r="E280">
            <v>0</v>
          </cell>
          <cell r="N280">
            <v>0</v>
          </cell>
          <cell r="O280">
            <v>0</v>
          </cell>
          <cell r="X280">
            <v>0</v>
          </cell>
          <cell r="AA280">
            <v>0</v>
          </cell>
          <cell r="AB280">
            <v>36481759.049999997</v>
          </cell>
        </row>
        <row r="281">
          <cell r="D281">
            <v>1244396.24</v>
          </cell>
          <cell r="E281">
            <v>1244396.24</v>
          </cell>
          <cell r="N281">
            <v>1244396.24</v>
          </cell>
          <cell r="O281">
            <v>0</v>
          </cell>
          <cell r="X281">
            <v>0</v>
          </cell>
          <cell r="AA281">
            <v>1244396.24</v>
          </cell>
          <cell r="AB281">
            <v>0</v>
          </cell>
        </row>
        <row r="282">
          <cell r="E282">
            <v>20000000</v>
          </cell>
          <cell r="N282">
            <v>20000000</v>
          </cell>
          <cell r="O282">
            <v>0</v>
          </cell>
          <cell r="X282">
            <v>0</v>
          </cell>
          <cell r="AA282">
            <v>20000000</v>
          </cell>
          <cell r="AB282">
            <v>0</v>
          </cell>
        </row>
        <row r="283">
          <cell r="E283">
            <v>7841133</v>
          </cell>
          <cell r="N283">
            <v>7841133</v>
          </cell>
          <cell r="O283">
            <v>0</v>
          </cell>
          <cell r="X283">
            <v>0</v>
          </cell>
          <cell r="AA283">
            <v>7841133</v>
          </cell>
          <cell r="AB283">
            <v>0</v>
          </cell>
        </row>
        <row r="284">
          <cell r="E284">
            <v>280000000</v>
          </cell>
          <cell r="F284">
            <v>13160933.16</v>
          </cell>
          <cell r="N284">
            <v>293160933.16000003</v>
          </cell>
          <cell r="O284">
            <v>0</v>
          </cell>
          <cell r="X284">
            <v>0</v>
          </cell>
          <cell r="AA284">
            <v>293160933.16000003</v>
          </cell>
          <cell r="AB284">
            <v>0</v>
          </cell>
        </row>
        <row r="285">
          <cell r="E285">
            <v>32258000</v>
          </cell>
          <cell r="N285">
            <v>32258000</v>
          </cell>
          <cell r="O285">
            <v>0</v>
          </cell>
          <cell r="X285">
            <v>0</v>
          </cell>
          <cell r="AA285">
            <v>32258000</v>
          </cell>
          <cell r="AB285">
            <v>0</v>
          </cell>
        </row>
        <row r="286">
          <cell r="E286">
            <v>966136.01</v>
          </cell>
          <cell r="N286">
            <v>966136.01</v>
          </cell>
          <cell r="O286">
            <v>0</v>
          </cell>
          <cell r="X286">
            <v>0</v>
          </cell>
          <cell r="AA286">
            <v>966136.01</v>
          </cell>
          <cell r="AB286">
            <v>0</v>
          </cell>
        </row>
        <row r="287">
          <cell r="E287">
            <v>0</v>
          </cell>
          <cell r="N287">
            <v>0</v>
          </cell>
          <cell r="O287">
            <v>25070595.559999999</v>
          </cell>
          <cell r="X287">
            <v>25070595.559999999</v>
          </cell>
          <cell r="AA287">
            <v>25070595.559999999</v>
          </cell>
          <cell r="AB287">
            <v>31409988.490000006</v>
          </cell>
        </row>
        <row r="288">
          <cell r="E288">
            <v>0</v>
          </cell>
          <cell r="H288">
            <v>0</v>
          </cell>
          <cell r="N288">
            <v>0</v>
          </cell>
          <cell r="O288">
            <v>15796629.800000001</v>
          </cell>
          <cell r="X288">
            <v>15796629.800000001</v>
          </cell>
          <cell r="AA288">
            <v>15796629.800000001</v>
          </cell>
          <cell r="AB288">
            <v>0</v>
          </cell>
        </row>
        <row r="289">
          <cell r="E289">
            <v>837838.57</v>
          </cell>
          <cell r="H289">
            <v>837838.57</v>
          </cell>
          <cell r="N289">
            <v>837838.57</v>
          </cell>
          <cell r="O289">
            <v>0</v>
          </cell>
          <cell r="X289">
            <v>0</v>
          </cell>
          <cell r="AA289">
            <v>837838.57</v>
          </cell>
          <cell r="AB289">
            <v>0</v>
          </cell>
        </row>
        <row r="294">
          <cell r="E294">
            <v>0</v>
          </cell>
          <cell r="N294">
            <v>0</v>
          </cell>
          <cell r="O294">
            <v>0</v>
          </cell>
          <cell r="X294">
            <v>0</v>
          </cell>
          <cell r="AA294">
            <v>0</v>
          </cell>
          <cell r="AB294">
            <v>26635000</v>
          </cell>
        </row>
        <row r="295">
          <cell r="E295">
            <v>0</v>
          </cell>
          <cell r="N295">
            <v>0</v>
          </cell>
          <cell r="O295">
            <v>0</v>
          </cell>
          <cell r="X295">
            <v>0</v>
          </cell>
          <cell r="AA295">
            <v>0</v>
          </cell>
          <cell r="AB295">
            <v>43698000</v>
          </cell>
        </row>
        <row r="296">
          <cell r="E296">
            <v>0</v>
          </cell>
          <cell r="N296">
            <v>0</v>
          </cell>
          <cell r="O296">
            <v>0</v>
          </cell>
          <cell r="X296">
            <v>0</v>
          </cell>
          <cell r="AA296">
            <v>0</v>
          </cell>
          <cell r="AB296">
            <v>6594000</v>
          </cell>
        </row>
        <row r="297">
          <cell r="E297">
            <v>0</v>
          </cell>
          <cell r="N297">
            <v>0</v>
          </cell>
          <cell r="O297">
            <v>0</v>
          </cell>
          <cell r="X297">
            <v>0</v>
          </cell>
          <cell r="AA297">
            <v>0</v>
          </cell>
          <cell r="AB297">
            <v>6302000</v>
          </cell>
        </row>
        <row r="302">
          <cell r="E302">
            <v>0</v>
          </cell>
          <cell r="N302">
            <v>0</v>
          </cell>
          <cell r="O302">
            <v>484427.99</v>
          </cell>
          <cell r="X302">
            <v>484427.99</v>
          </cell>
          <cell r="AA302">
            <v>484427.99</v>
          </cell>
          <cell r="AB302">
            <v>972355.47</v>
          </cell>
        </row>
        <row r="303">
          <cell r="E303">
            <v>6312175.4199999999</v>
          </cell>
          <cell r="N303">
            <v>6312175.4199999999</v>
          </cell>
          <cell r="O303">
            <v>0</v>
          </cell>
          <cell r="X303">
            <v>0</v>
          </cell>
          <cell r="AA303">
            <v>6312175.4199999999</v>
          </cell>
          <cell r="AB303">
            <v>0</v>
          </cell>
        </row>
        <row r="304">
          <cell r="E304">
            <v>17130000</v>
          </cell>
          <cell r="N304">
            <v>17130000</v>
          </cell>
          <cell r="O304">
            <v>0</v>
          </cell>
          <cell r="X304">
            <v>0</v>
          </cell>
          <cell r="AA304">
            <v>17130000</v>
          </cell>
          <cell r="AB304">
            <v>0</v>
          </cell>
        </row>
        <row r="305">
          <cell r="E305">
            <v>0</v>
          </cell>
          <cell r="N305">
            <v>0</v>
          </cell>
          <cell r="O305">
            <v>1545852.2800000003</v>
          </cell>
          <cell r="X305">
            <v>1545852.2800000003</v>
          </cell>
          <cell r="AA305">
            <v>1545852.2800000003</v>
          </cell>
          <cell r="AB305">
            <v>0</v>
          </cell>
        </row>
        <row r="306">
          <cell r="E306">
            <v>0</v>
          </cell>
          <cell r="N306">
            <v>0</v>
          </cell>
          <cell r="O306">
            <v>0</v>
          </cell>
          <cell r="X306">
            <v>0</v>
          </cell>
          <cell r="AA306">
            <v>0</v>
          </cell>
          <cell r="AB306">
            <v>13773200</v>
          </cell>
        </row>
        <row r="307">
          <cell r="E307">
            <v>0</v>
          </cell>
          <cell r="N307">
            <v>0</v>
          </cell>
          <cell r="O307">
            <v>0</v>
          </cell>
          <cell r="X307">
            <v>0</v>
          </cell>
          <cell r="AA307">
            <v>0</v>
          </cell>
          <cell r="AB307">
            <v>3836055.49</v>
          </cell>
        </row>
        <row r="308">
          <cell r="E308">
            <v>5549055.1900000004</v>
          </cell>
          <cell r="N308">
            <v>5549055.1900000004</v>
          </cell>
          <cell r="O308">
            <v>835222.3</v>
          </cell>
          <cell r="X308">
            <v>835222.3</v>
          </cell>
          <cell r="AA308">
            <v>6384277.4900000002</v>
          </cell>
          <cell r="AB308">
            <v>3115722.51</v>
          </cell>
        </row>
        <row r="312">
          <cell r="O312">
            <v>11735245.17</v>
          </cell>
        </row>
        <row r="313">
          <cell r="E313">
            <v>0</v>
          </cell>
          <cell r="N313">
            <v>0</v>
          </cell>
          <cell r="O313">
            <v>103522.44</v>
          </cell>
          <cell r="X313">
            <v>103522.44</v>
          </cell>
          <cell r="AA313">
            <v>103522.44</v>
          </cell>
          <cell r="AB313">
            <v>20956110.369999997</v>
          </cell>
        </row>
        <row r="314">
          <cell r="E314">
            <v>14340450.460000001</v>
          </cell>
          <cell r="N314">
            <v>14340450.460000001</v>
          </cell>
          <cell r="O314">
            <v>0</v>
          </cell>
          <cell r="X314">
            <v>0</v>
          </cell>
          <cell r="AA314">
            <v>14340450.460000001</v>
          </cell>
          <cell r="AB314">
            <v>0</v>
          </cell>
        </row>
        <row r="315">
          <cell r="E315">
            <v>8840000</v>
          </cell>
          <cell r="N315">
            <v>8840000</v>
          </cell>
          <cell r="O315">
            <v>0</v>
          </cell>
          <cell r="X315">
            <v>0</v>
          </cell>
          <cell r="AA315">
            <v>8840000</v>
          </cell>
          <cell r="AB315">
            <v>0</v>
          </cell>
        </row>
        <row r="316">
          <cell r="E316">
            <v>700971.62</v>
          </cell>
          <cell r="N316">
            <v>700971.62</v>
          </cell>
          <cell r="O316">
            <v>0</v>
          </cell>
          <cell r="X316">
            <v>0</v>
          </cell>
          <cell r="AA316">
            <v>700971.62</v>
          </cell>
          <cell r="AB316">
            <v>0</v>
          </cell>
        </row>
        <row r="320">
          <cell r="O320">
            <v>181752.55</v>
          </cell>
        </row>
        <row r="321">
          <cell r="E321">
            <v>0</v>
          </cell>
          <cell r="N321">
            <v>0</v>
          </cell>
          <cell r="O321">
            <v>5433959.1900000004</v>
          </cell>
          <cell r="S321">
            <v>1479754</v>
          </cell>
          <cell r="X321">
            <v>5433959.1900000004</v>
          </cell>
          <cell r="AA321">
            <v>5433959.1900000004</v>
          </cell>
          <cell r="AB321">
            <v>985874.29999999981</v>
          </cell>
        </row>
        <row r="322">
          <cell r="E322">
            <v>44776640.140000001</v>
          </cell>
          <cell r="F322">
            <v>17500000</v>
          </cell>
          <cell r="N322">
            <v>62276640.140000001</v>
          </cell>
          <cell r="O322">
            <v>0</v>
          </cell>
          <cell r="X322">
            <v>0</v>
          </cell>
          <cell r="AA322">
            <v>62276640.140000001</v>
          </cell>
          <cell r="AB322">
            <v>0</v>
          </cell>
        </row>
        <row r="323">
          <cell r="E323">
            <v>7937500</v>
          </cell>
          <cell r="N323">
            <v>7937500</v>
          </cell>
          <cell r="O323">
            <v>0</v>
          </cell>
          <cell r="X323">
            <v>0</v>
          </cell>
          <cell r="AA323">
            <v>7937500</v>
          </cell>
          <cell r="AB323">
            <v>0</v>
          </cell>
        </row>
        <row r="324">
          <cell r="E324">
            <v>2741280</v>
          </cell>
          <cell r="N324">
            <v>2741280</v>
          </cell>
          <cell r="O324">
            <v>0</v>
          </cell>
          <cell r="X324">
            <v>0</v>
          </cell>
          <cell r="AA324">
            <v>2741280</v>
          </cell>
          <cell r="AB324">
            <v>0</v>
          </cell>
        </row>
        <row r="325">
          <cell r="E325">
            <v>1484835.53</v>
          </cell>
          <cell r="N325">
            <v>1484835.53</v>
          </cell>
          <cell r="O325">
            <v>0</v>
          </cell>
          <cell r="X325">
            <v>0</v>
          </cell>
          <cell r="AA325">
            <v>1484835.53</v>
          </cell>
          <cell r="AB325">
            <v>0</v>
          </cell>
        </row>
        <row r="326">
          <cell r="E326">
            <v>0</v>
          </cell>
          <cell r="N326">
            <v>0</v>
          </cell>
          <cell r="O326">
            <v>195860.51</v>
          </cell>
          <cell r="X326">
            <v>195860.51</v>
          </cell>
          <cell r="AA326">
            <v>195860.51</v>
          </cell>
          <cell r="AB326">
            <v>53309319.340000004</v>
          </cell>
        </row>
        <row r="327">
          <cell r="E327">
            <v>0</v>
          </cell>
          <cell r="N327">
            <v>0</v>
          </cell>
          <cell r="O327">
            <v>0</v>
          </cell>
          <cell r="X327">
            <v>0</v>
          </cell>
          <cell r="AA327">
            <v>0</v>
          </cell>
          <cell r="AB327">
            <v>12000000</v>
          </cell>
        </row>
        <row r="328">
          <cell r="E328">
            <v>0</v>
          </cell>
          <cell r="N328">
            <v>0</v>
          </cell>
          <cell r="O328">
            <v>626845.6</v>
          </cell>
          <cell r="X328">
            <v>626845.6</v>
          </cell>
          <cell r="AA328">
            <v>626845.6</v>
          </cell>
          <cell r="AB328">
            <v>2241377.1599999997</v>
          </cell>
        </row>
        <row r="333">
          <cell r="E333">
            <v>0</v>
          </cell>
          <cell r="N333">
            <v>0</v>
          </cell>
          <cell r="O333">
            <v>0</v>
          </cell>
          <cell r="X333">
            <v>0</v>
          </cell>
          <cell r="AA333">
            <v>0</v>
          </cell>
          <cell r="AB333">
            <v>54449180.579999998</v>
          </cell>
        </row>
        <row r="334">
          <cell r="E334">
            <v>0</v>
          </cell>
          <cell r="N334">
            <v>0</v>
          </cell>
          <cell r="O334">
            <v>0</v>
          </cell>
          <cell r="X334">
            <v>0</v>
          </cell>
          <cell r="AA334">
            <v>0</v>
          </cell>
          <cell r="AB334">
            <v>1872417.01</v>
          </cell>
        </row>
        <row r="335">
          <cell r="E335">
            <v>0</v>
          </cell>
          <cell r="N335">
            <v>0</v>
          </cell>
          <cell r="O335">
            <v>595402.19999999995</v>
          </cell>
          <cell r="X335">
            <v>595402.19999999995</v>
          </cell>
          <cell r="AA335">
            <v>595402.19999999995</v>
          </cell>
          <cell r="AB335">
            <v>95330967.709999993</v>
          </cell>
        </row>
        <row r="336">
          <cell r="E336">
            <v>0</v>
          </cell>
          <cell r="N336">
            <v>0</v>
          </cell>
          <cell r="O336">
            <v>0</v>
          </cell>
          <cell r="X336">
            <v>0</v>
          </cell>
          <cell r="AA336">
            <v>0</v>
          </cell>
          <cell r="AB336">
            <v>15838582.99</v>
          </cell>
        </row>
        <row r="337">
          <cell r="E337">
            <v>0</v>
          </cell>
          <cell r="N337">
            <v>0</v>
          </cell>
          <cell r="O337">
            <v>0</v>
          </cell>
          <cell r="X337">
            <v>0</v>
          </cell>
          <cell r="AA337">
            <v>0</v>
          </cell>
          <cell r="AB337">
            <v>30023968.16</v>
          </cell>
        </row>
        <row r="346">
          <cell r="N346">
            <v>0</v>
          </cell>
          <cell r="O346">
            <v>11108782.310000001</v>
          </cell>
          <cell r="X346">
            <v>11108782.310000001</v>
          </cell>
          <cell r="AA346">
            <v>11108782.310000001</v>
          </cell>
          <cell r="AB346">
            <v>0</v>
          </cell>
        </row>
        <row r="347">
          <cell r="E347">
            <v>1551040</v>
          </cell>
          <cell r="N347">
            <v>1551040</v>
          </cell>
          <cell r="X347">
            <v>0</v>
          </cell>
          <cell r="AA347">
            <v>1551040</v>
          </cell>
          <cell r="AB347">
            <v>0</v>
          </cell>
        </row>
        <row r="348">
          <cell r="N348">
            <v>0</v>
          </cell>
          <cell r="O348">
            <v>5444153.1799999997</v>
          </cell>
          <cell r="X348">
            <v>5444153.1799999997</v>
          </cell>
          <cell r="AA348">
            <v>5444153.1799999997</v>
          </cell>
          <cell r="AB348">
            <v>0</v>
          </cell>
        </row>
        <row r="349">
          <cell r="N349">
            <v>0</v>
          </cell>
          <cell r="X349">
            <v>0</v>
          </cell>
          <cell r="AA349">
            <v>0</v>
          </cell>
          <cell r="AB349">
            <v>11690201.449999999</v>
          </cell>
        </row>
        <row r="350">
          <cell r="E350">
            <v>8000000</v>
          </cell>
          <cell r="N350">
            <v>8000000</v>
          </cell>
          <cell r="X350">
            <v>0</v>
          </cell>
          <cell r="AA350">
            <v>8000000</v>
          </cell>
          <cell r="AB350">
            <v>0</v>
          </cell>
        </row>
        <row r="351">
          <cell r="E351">
            <v>5617680.4800000004</v>
          </cell>
          <cell r="N351">
            <v>5617680.4800000004</v>
          </cell>
          <cell r="O351">
            <v>835222.3</v>
          </cell>
          <cell r="X351">
            <v>835222.3</v>
          </cell>
          <cell r="AA351">
            <v>6452902.7800000003</v>
          </cell>
          <cell r="AB351">
            <v>3047097.2199999997</v>
          </cell>
        </row>
        <row r="352">
          <cell r="E352">
            <v>8500000</v>
          </cell>
          <cell r="N352">
            <v>8500000</v>
          </cell>
          <cell r="X352">
            <v>0</v>
          </cell>
          <cell r="AA352">
            <v>8500000</v>
          </cell>
          <cell r="AB352">
            <v>0</v>
          </cell>
        </row>
        <row r="356">
          <cell r="O356">
            <v>6098042.7799999993</v>
          </cell>
        </row>
        <row r="357">
          <cell r="N357">
            <v>0</v>
          </cell>
          <cell r="X357">
            <v>0</v>
          </cell>
          <cell r="AA357">
            <v>0</v>
          </cell>
          <cell r="AB357">
            <v>61659384.090000004</v>
          </cell>
        </row>
        <row r="358">
          <cell r="E358">
            <v>12221009</v>
          </cell>
          <cell r="N358">
            <v>12221009</v>
          </cell>
          <cell r="X358">
            <v>0</v>
          </cell>
          <cell r="AA358">
            <v>12221009</v>
          </cell>
          <cell r="AB358">
            <v>0</v>
          </cell>
        </row>
        <row r="359">
          <cell r="N359">
            <v>0</v>
          </cell>
          <cell r="O359">
            <v>46303450.460000001</v>
          </cell>
          <cell r="X359">
            <v>46303450.460000001</v>
          </cell>
          <cell r="AA359">
            <v>46303450.460000001</v>
          </cell>
          <cell r="AB359">
            <v>69293788.530000001</v>
          </cell>
        </row>
        <row r="360">
          <cell r="N360">
            <v>0</v>
          </cell>
          <cell r="O360">
            <v>26496892.829999998</v>
          </cell>
          <cell r="X360">
            <v>26496892.829999998</v>
          </cell>
          <cell r="AA360">
            <v>26496892.829999998</v>
          </cell>
          <cell r="AB360">
            <v>0</v>
          </cell>
        </row>
        <row r="361">
          <cell r="E361">
            <v>10000000</v>
          </cell>
          <cell r="N361">
            <v>10000000</v>
          </cell>
          <cell r="X361">
            <v>0</v>
          </cell>
          <cell r="AA361">
            <v>10000000</v>
          </cell>
          <cell r="AB361">
            <v>0</v>
          </cell>
        </row>
        <row r="365">
          <cell r="O365">
            <v>1168518.22</v>
          </cell>
        </row>
        <row r="366">
          <cell r="N366">
            <v>0</v>
          </cell>
          <cell r="X366">
            <v>0</v>
          </cell>
          <cell r="AA366">
            <v>0</v>
          </cell>
          <cell r="AB366">
            <v>0</v>
          </cell>
        </row>
        <row r="367">
          <cell r="E367">
            <v>2018058</v>
          </cell>
          <cell r="N367">
            <v>2018058</v>
          </cell>
          <cell r="X367">
            <v>0</v>
          </cell>
          <cell r="AA367">
            <v>2018058</v>
          </cell>
          <cell r="AB367">
            <v>0</v>
          </cell>
        </row>
        <row r="368">
          <cell r="N368">
            <v>0</v>
          </cell>
          <cell r="O368">
            <v>83470.22</v>
          </cell>
          <cell r="X368">
            <v>83470.22</v>
          </cell>
          <cell r="AA368">
            <v>83470.22</v>
          </cell>
          <cell r="AB368">
            <v>6454878.1299999999</v>
          </cell>
        </row>
        <row r="369">
          <cell r="N369">
            <v>0</v>
          </cell>
          <cell r="X369">
            <v>0</v>
          </cell>
          <cell r="AA369">
            <v>0</v>
          </cell>
          <cell r="AB369">
            <v>374163.86</v>
          </cell>
        </row>
        <row r="370">
          <cell r="E370">
            <v>22029000</v>
          </cell>
          <cell r="N370">
            <v>22029000</v>
          </cell>
          <cell r="X370">
            <v>0</v>
          </cell>
          <cell r="Y370">
            <v>22029000</v>
          </cell>
          <cell r="Z370">
            <v>0</v>
          </cell>
          <cell r="AA370">
            <v>22029000</v>
          </cell>
          <cell r="AB370">
            <v>0</v>
          </cell>
        </row>
        <row r="375">
          <cell r="N375">
            <v>0</v>
          </cell>
          <cell r="X375">
            <v>0</v>
          </cell>
          <cell r="AA375">
            <v>0</v>
          </cell>
          <cell r="AB375">
            <v>34625096.560000002</v>
          </cell>
        </row>
        <row r="376">
          <cell r="E376">
            <v>2193860</v>
          </cell>
          <cell r="N376">
            <v>2193860</v>
          </cell>
          <cell r="X376">
            <v>0</v>
          </cell>
          <cell r="AA376">
            <v>2193860</v>
          </cell>
          <cell r="AB376">
            <v>0</v>
          </cell>
        </row>
        <row r="377">
          <cell r="N377">
            <v>0</v>
          </cell>
          <cell r="X377">
            <v>0</v>
          </cell>
          <cell r="AA377">
            <v>0</v>
          </cell>
          <cell r="AB377">
            <v>2332291</v>
          </cell>
        </row>
        <row r="378">
          <cell r="N378">
            <v>0</v>
          </cell>
          <cell r="X378">
            <v>0</v>
          </cell>
          <cell r="AA378">
            <v>0</v>
          </cell>
          <cell r="AB378">
            <v>825552.7</v>
          </cell>
        </row>
        <row r="379">
          <cell r="N379">
            <v>0</v>
          </cell>
          <cell r="O379">
            <v>10700263.029999999</v>
          </cell>
          <cell r="X379">
            <v>10700263.029999999</v>
          </cell>
          <cell r="AA379">
            <v>10700263.029999999</v>
          </cell>
          <cell r="AB379">
            <v>5603896.2599999998</v>
          </cell>
        </row>
        <row r="384">
          <cell r="E384">
            <v>12688340.150000002</v>
          </cell>
          <cell r="N384">
            <v>12688340.150000002</v>
          </cell>
          <cell r="X384">
            <v>0</v>
          </cell>
          <cell r="AA384">
            <v>12688340.150000002</v>
          </cell>
          <cell r="AB384">
            <v>172564.01999999769</v>
          </cell>
        </row>
        <row r="385">
          <cell r="E385">
            <v>1949520</v>
          </cell>
          <cell r="N385">
            <v>1949520</v>
          </cell>
          <cell r="X385">
            <v>0</v>
          </cell>
          <cell r="AA385">
            <v>1949520</v>
          </cell>
          <cell r="AB385">
            <v>0</v>
          </cell>
        </row>
        <row r="386">
          <cell r="E386">
            <v>4650327.54</v>
          </cell>
          <cell r="N386">
            <v>4650327.54</v>
          </cell>
          <cell r="X386">
            <v>0</v>
          </cell>
          <cell r="AA386">
            <v>4650327.54</v>
          </cell>
          <cell r="AB386">
            <v>0</v>
          </cell>
        </row>
        <row r="387">
          <cell r="N387">
            <v>0</v>
          </cell>
          <cell r="O387">
            <v>14239819.48</v>
          </cell>
          <cell r="X387">
            <v>14239819.48</v>
          </cell>
          <cell r="AA387">
            <v>14239819.48</v>
          </cell>
          <cell r="AB387">
            <v>0</v>
          </cell>
        </row>
        <row r="388">
          <cell r="D388">
            <v>10700263.029999999</v>
          </cell>
          <cell r="N388">
            <v>0</v>
          </cell>
          <cell r="O388">
            <v>10700263.029999999</v>
          </cell>
          <cell r="X388">
            <v>10700263.029999999</v>
          </cell>
          <cell r="AA388">
            <v>10700263.029999999</v>
          </cell>
          <cell r="AB388">
            <v>0</v>
          </cell>
        </row>
        <row r="393">
          <cell r="E393">
            <v>0</v>
          </cell>
          <cell r="N393">
            <v>0</v>
          </cell>
          <cell r="X393">
            <v>0</v>
          </cell>
          <cell r="AA393">
            <v>0</v>
          </cell>
          <cell r="AB393">
            <v>0</v>
          </cell>
        </row>
        <row r="394">
          <cell r="E394">
            <v>1693952</v>
          </cell>
          <cell r="N394">
            <v>1693952</v>
          </cell>
          <cell r="X394">
            <v>0</v>
          </cell>
          <cell r="AA394">
            <v>1693952</v>
          </cell>
          <cell r="AB394">
            <v>0</v>
          </cell>
        </row>
        <row r="395">
          <cell r="E395">
            <v>6090896.5899999999</v>
          </cell>
          <cell r="N395">
            <v>6090896.5899999999</v>
          </cell>
          <cell r="X395">
            <v>0</v>
          </cell>
          <cell r="AA395">
            <v>6090896.5899999999</v>
          </cell>
          <cell r="AB395">
            <v>0</v>
          </cell>
        </row>
        <row r="396">
          <cell r="E396">
            <v>2014079.01</v>
          </cell>
          <cell r="N396">
            <v>2014079.01</v>
          </cell>
          <cell r="X396">
            <v>0</v>
          </cell>
          <cell r="AA396">
            <v>2014079.01</v>
          </cell>
          <cell r="AB396">
            <v>0</v>
          </cell>
        </row>
        <row r="397">
          <cell r="N397">
            <v>0</v>
          </cell>
          <cell r="O397">
            <v>20848197.510000002</v>
          </cell>
          <cell r="X397">
            <v>20848197.510000002</v>
          </cell>
          <cell r="AA397">
            <v>20848197.510000002</v>
          </cell>
          <cell r="AB397">
            <v>0</v>
          </cell>
        </row>
        <row r="398">
          <cell r="N398">
            <v>0</v>
          </cell>
          <cell r="O398">
            <v>10700263.029999999</v>
          </cell>
          <cell r="X398">
            <v>10700263.029999999</v>
          </cell>
          <cell r="AA398">
            <v>10700263.029999999</v>
          </cell>
          <cell r="AB398">
            <v>0</v>
          </cell>
        </row>
        <row r="403">
          <cell r="N403">
            <v>0</v>
          </cell>
          <cell r="O403">
            <v>81926.41</v>
          </cell>
          <cell r="X403">
            <v>81926.41</v>
          </cell>
          <cell r="AA403">
            <v>81926.41</v>
          </cell>
          <cell r="AB403">
            <v>53336513.490000002</v>
          </cell>
        </row>
        <row r="404">
          <cell r="E404">
            <v>2565137</v>
          </cell>
          <cell r="N404">
            <v>2565137</v>
          </cell>
          <cell r="X404">
            <v>0</v>
          </cell>
          <cell r="AA404">
            <v>2565137</v>
          </cell>
          <cell r="AB404">
            <v>0</v>
          </cell>
        </row>
        <row r="405">
          <cell r="N405">
            <v>0</v>
          </cell>
          <cell r="X405">
            <v>0</v>
          </cell>
          <cell r="AA405">
            <v>0</v>
          </cell>
          <cell r="AB405">
            <v>3912782.83</v>
          </cell>
        </row>
        <row r="410">
          <cell r="N410">
            <v>0</v>
          </cell>
          <cell r="X410">
            <v>0</v>
          </cell>
          <cell r="AA410">
            <v>0</v>
          </cell>
          <cell r="AB410">
            <v>50603874.039999999</v>
          </cell>
        </row>
        <row r="411">
          <cell r="E411">
            <v>2083523</v>
          </cell>
          <cell r="N411">
            <v>2083523</v>
          </cell>
          <cell r="X411">
            <v>0</v>
          </cell>
          <cell r="AA411">
            <v>2083523</v>
          </cell>
          <cell r="AB411">
            <v>0</v>
          </cell>
        </row>
        <row r="412">
          <cell r="N412">
            <v>0</v>
          </cell>
          <cell r="X412">
            <v>0</v>
          </cell>
          <cell r="AA412">
            <v>0</v>
          </cell>
          <cell r="AB412">
            <v>1533021.58</v>
          </cell>
        </row>
        <row r="413">
          <cell r="N413">
            <v>0</v>
          </cell>
          <cell r="X413">
            <v>0</v>
          </cell>
          <cell r="AA413">
            <v>0</v>
          </cell>
          <cell r="AB413">
            <v>201.5</v>
          </cell>
        </row>
        <row r="418">
          <cell r="E418">
            <v>0</v>
          </cell>
          <cell r="N418">
            <v>0</v>
          </cell>
          <cell r="X418">
            <v>0</v>
          </cell>
          <cell r="AA418">
            <v>0</v>
          </cell>
          <cell r="AB418">
            <v>5571157.7400000002</v>
          </cell>
        </row>
        <row r="419">
          <cell r="E419">
            <v>5079268</v>
          </cell>
          <cell r="N419">
            <v>5079268</v>
          </cell>
          <cell r="X419">
            <v>0</v>
          </cell>
          <cell r="AA419">
            <v>5079268</v>
          </cell>
          <cell r="AB419">
            <v>0</v>
          </cell>
        </row>
        <row r="420">
          <cell r="N420">
            <v>0</v>
          </cell>
          <cell r="X420">
            <v>0</v>
          </cell>
          <cell r="AA420">
            <v>0</v>
          </cell>
          <cell r="AB420">
            <v>1598000</v>
          </cell>
        </row>
        <row r="421">
          <cell r="N421">
            <v>0</v>
          </cell>
          <cell r="X421">
            <v>0</v>
          </cell>
          <cell r="AA421">
            <v>0</v>
          </cell>
          <cell r="AB421">
            <v>3326665.47</v>
          </cell>
        </row>
        <row r="422">
          <cell r="E422">
            <v>8976293.8000000007</v>
          </cell>
          <cell r="N422">
            <v>8976293.8000000007</v>
          </cell>
          <cell r="X422">
            <v>0</v>
          </cell>
          <cell r="AA422">
            <v>8976293.8000000007</v>
          </cell>
          <cell r="AB422">
            <v>0</v>
          </cell>
        </row>
        <row r="423">
          <cell r="N423">
            <v>0</v>
          </cell>
          <cell r="X423">
            <v>0</v>
          </cell>
          <cell r="AA423">
            <v>0</v>
          </cell>
          <cell r="AB423">
            <v>28856990.23</v>
          </cell>
        </row>
        <row r="428">
          <cell r="N428">
            <v>0</v>
          </cell>
          <cell r="X428">
            <v>0</v>
          </cell>
          <cell r="AA428">
            <v>0</v>
          </cell>
          <cell r="AB428">
            <v>0</v>
          </cell>
        </row>
        <row r="429">
          <cell r="E429">
            <v>488527</v>
          </cell>
          <cell r="N429">
            <v>488527</v>
          </cell>
          <cell r="X429">
            <v>0</v>
          </cell>
          <cell r="AA429">
            <v>488527</v>
          </cell>
          <cell r="AB429">
            <v>0</v>
          </cell>
        </row>
        <row r="434">
          <cell r="N434">
            <v>0</v>
          </cell>
          <cell r="X434">
            <v>0</v>
          </cell>
          <cell r="AA434">
            <v>0</v>
          </cell>
          <cell r="AB434">
            <v>1127824.8899999999</v>
          </cell>
        </row>
        <row r="435">
          <cell r="N435">
            <v>0</v>
          </cell>
          <cell r="X435">
            <v>0</v>
          </cell>
          <cell r="AA435">
            <v>0</v>
          </cell>
          <cell r="AB435">
            <v>13284153.43</v>
          </cell>
        </row>
        <row r="436">
          <cell r="N436">
            <v>0</v>
          </cell>
          <cell r="X436">
            <v>0</v>
          </cell>
          <cell r="AA436">
            <v>0</v>
          </cell>
          <cell r="AB436">
            <v>2206509.38</v>
          </cell>
        </row>
        <row r="441">
          <cell r="N441">
            <v>0</v>
          </cell>
          <cell r="O441">
            <v>445424.59</v>
          </cell>
          <cell r="X441">
            <v>445424.59</v>
          </cell>
          <cell r="AA441">
            <v>445424.59</v>
          </cell>
          <cell r="AB441">
            <v>20222508.18</v>
          </cell>
        </row>
        <row r="442">
          <cell r="E442">
            <v>2612930</v>
          </cell>
          <cell r="N442">
            <v>2612930</v>
          </cell>
          <cell r="X442">
            <v>0</v>
          </cell>
          <cell r="AA442">
            <v>2612930</v>
          </cell>
          <cell r="AB442">
            <v>0</v>
          </cell>
        </row>
        <row r="443">
          <cell r="N443">
            <v>0</v>
          </cell>
          <cell r="O443">
            <v>1300623.44</v>
          </cell>
          <cell r="X443">
            <v>1300623.44</v>
          </cell>
          <cell r="AA443">
            <v>1300623.44</v>
          </cell>
          <cell r="AB443">
            <v>6147376.5600000005</v>
          </cell>
        </row>
        <row r="444">
          <cell r="N444">
            <v>0</v>
          </cell>
          <cell r="X444">
            <v>0</v>
          </cell>
          <cell r="AA444">
            <v>0</v>
          </cell>
          <cell r="AB444">
            <v>0</v>
          </cell>
        </row>
        <row r="445">
          <cell r="N445">
            <v>0</v>
          </cell>
          <cell r="O445">
            <v>10700263.029999999</v>
          </cell>
          <cell r="X445">
            <v>10700263.029999999</v>
          </cell>
          <cell r="AA445">
            <v>10700263.029999999</v>
          </cell>
          <cell r="AB445">
            <v>0</v>
          </cell>
        </row>
        <row r="449">
          <cell r="E449">
            <v>910000</v>
          </cell>
          <cell r="N449">
            <v>910000</v>
          </cell>
          <cell r="O449">
            <v>0</v>
          </cell>
          <cell r="X449">
            <v>0</v>
          </cell>
          <cell r="AA449">
            <v>910000</v>
          </cell>
          <cell r="AB449">
            <v>0</v>
          </cell>
        </row>
        <row r="450">
          <cell r="E450">
            <v>0</v>
          </cell>
          <cell r="F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X450">
            <v>0</v>
          </cell>
          <cell r="AA450">
            <v>0</v>
          </cell>
          <cell r="AB450">
            <v>5404234.6799999997</v>
          </cell>
        </row>
        <row r="460">
          <cell r="E460">
            <v>0</v>
          </cell>
          <cell r="N460">
            <v>0</v>
          </cell>
          <cell r="O460">
            <v>128256.38999999998</v>
          </cell>
          <cell r="X460">
            <v>128256.38999999998</v>
          </cell>
          <cell r="AA460">
            <v>128256.38999999998</v>
          </cell>
          <cell r="AB460">
            <v>1501369.35</v>
          </cell>
        </row>
        <row r="461">
          <cell r="E461">
            <v>1849609.58</v>
          </cell>
          <cell r="N461">
            <v>1849609.58</v>
          </cell>
          <cell r="O461">
            <v>0</v>
          </cell>
          <cell r="X461">
            <v>0</v>
          </cell>
          <cell r="AA461">
            <v>1849609.58</v>
          </cell>
          <cell r="AB461">
            <v>0</v>
          </cell>
        </row>
        <row r="462">
          <cell r="E462">
            <v>8523000</v>
          </cell>
          <cell r="N462">
            <v>8523000</v>
          </cell>
          <cell r="O462">
            <v>0</v>
          </cell>
          <cell r="X462">
            <v>0</v>
          </cell>
          <cell r="AA462">
            <v>8523000</v>
          </cell>
          <cell r="AB462">
            <v>0</v>
          </cell>
        </row>
        <row r="479">
          <cell r="E479">
            <v>0</v>
          </cell>
          <cell r="N479">
            <v>0</v>
          </cell>
          <cell r="O479">
            <v>752230.24</v>
          </cell>
          <cell r="X479">
            <v>752230.24</v>
          </cell>
          <cell r="AA479">
            <v>752230.24</v>
          </cell>
          <cell r="AB479">
            <v>0</v>
          </cell>
        </row>
        <row r="480">
          <cell r="E480">
            <v>2012276.94</v>
          </cell>
          <cell r="N480">
            <v>2012276.94</v>
          </cell>
          <cell r="O480">
            <v>0</v>
          </cell>
          <cell r="X480">
            <v>0</v>
          </cell>
          <cell r="AA480">
            <v>2012276.94</v>
          </cell>
          <cell r="AB480">
            <v>0</v>
          </cell>
        </row>
        <row r="481">
          <cell r="E481">
            <v>0</v>
          </cell>
          <cell r="N481">
            <v>0</v>
          </cell>
          <cell r="O481">
            <v>0</v>
          </cell>
          <cell r="X481">
            <v>0</v>
          </cell>
          <cell r="AA481">
            <v>0</v>
          </cell>
          <cell r="AB481">
            <v>1695368.3</v>
          </cell>
        </row>
        <row r="482">
          <cell r="E482">
            <v>0</v>
          </cell>
          <cell r="N482">
            <v>0</v>
          </cell>
          <cell r="O482">
            <v>1493185.9500000002</v>
          </cell>
          <cell r="S482">
            <v>1426220.37</v>
          </cell>
          <cell r="X482">
            <v>1493185.9500000002</v>
          </cell>
          <cell r="AA482">
            <v>1493185.9500000002</v>
          </cell>
          <cell r="AB482">
            <v>13642.419999999925</v>
          </cell>
        </row>
        <row r="483">
          <cell r="E483">
            <v>8500000</v>
          </cell>
          <cell r="N483">
            <v>8500000</v>
          </cell>
          <cell r="O483">
            <v>0</v>
          </cell>
          <cell r="X483">
            <v>0</v>
          </cell>
          <cell r="AA483">
            <v>8500000</v>
          </cell>
          <cell r="AB483">
            <v>0</v>
          </cell>
        </row>
        <row r="484">
          <cell r="E484">
            <v>0</v>
          </cell>
          <cell r="N484">
            <v>0</v>
          </cell>
          <cell r="O484">
            <v>15650</v>
          </cell>
          <cell r="X484">
            <v>15650</v>
          </cell>
          <cell r="AA484">
            <v>15650</v>
          </cell>
          <cell r="AB484">
            <v>134981.70000000001</v>
          </cell>
        </row>
        <row r="485">
          <cell r="E485">
            <v>0</v>
          </cell>
          <cell r="N485">
            <v>0</v>
          </cell>
          <cell r="O485">
            <v>0</v>
          </cell>
          <cell r="X485">
            <v>0</v>
          </cell>
          <cell r="AA485">
            <v>0</v>
          </cell>
          <cell r="AB485">
            <v>887924.73</v>
          </cell>
        </row>
        <row r="491">
          <cell r="E491">
            <v>0</v>
          </cell>
          <cell r="N491">
            <v>0</v>
          </cell>
          <cell r="O491">
            <v>3246238.16</v>
          </cell>
          <cell r="X491">
            <v>3246238.16</v>
          </cell>
          <cell r="AA491">
            <v>3246238.16</v>
          </cell>
          <cell r="AB491">
            <v>5361588.1999999993</v>
          </cell>
        </row>
        <row r="492">
          <cell r="E492">
            <v>1987562.42</v>
          </cell>
          <cell r="N492">
            <v>1987562.42</v>
          </cell>
          <cell r="O492">
            <v>0</v>
          </cell>
          <cell r="X492">
            <v>0</v>
          </cell>
          <cell r="AA492">
            <v>1987562.42</v>
          </cell>
          <cell r="AB492">
            <v>0</v>
          </cell>
        </row>
        <row r="493">
          <cell r="E493">
            <v>27327000</v>
          </cell>
          <cell r="N493">
            <v>27327000</v>
          </cell>
          <cell r="O493">
            <v>0</v>
          </cell>
          <cell r="X493">
            <v>0</v>
          </cell>
          <cell r="AA493">
            <v>27327000</v>
          </cell>
          <cell r="AB493">
            <v>0</v>
          </cell>
        </row>
        <row r="494">
          <cell r="E494">
            <v>8652898.7799999993</v>
          </cell>
          <cell r="N494">
            <v>8652898.7799999993</v>
          </cell>
          <cell r="O494">
            <v>0</v>
          </cell>
          <cell r="X494">
            <v>0</v>
          </cell>
          <cell r="AA494">
            <v>8652898.7799999993</v>
          </cell>
          <cell r="AB494">
            <v>0</v>
          </cell>
        </row>
        <row r="495">
          <cell r="E495">
            <v>0</v>
          </cell>
          <cell r="N495">
            <v>0</v>
          </cell>
          <cell r="O495">
            <v>174704</v>
          </cell>
          <cell r="X495">
            <v>174704</v>
          </cell>
          <cell r="AA495">
            <v>174704</v>
          </cell>
          <cell r="AB495">
            <v>0.10000000000582077</v>
          </cell>
        </row>
        <row r="496">
          <cell r="E496">
            <v>5843730.0300000003</v>
          </cell>
          <cell r="N496">
            <v>5843730.0300000003</v>
          </cell>
          <cell r="O496">
            <v>835222.3</v>
          </cell>
          <cell r="X496">
            <v>835222.3</v>
          </cell>
          <cell r="AA496">
            <v>6678952.3300000001</v>
          </cell>
          <cell r="AB496">
            <v>3321047.67</v>
          </cell>
        </row>
        <row r="501">
          <cell r="E501">
            <v>0</v>
          </cell>
          <cell r="N501">
            <v>0</v>
          </cell>
          <cell r="O501">
            <v>9599999.8099999987</v>
          </cell>
          <cell r="S501">
            <v>6263117.3700000001</v>
          </cell>
          <cell r="T501">
            <v>3270911.88</v>
          </cell>
          <cell r="X501">
            <v>9599999.8099999987</v>
          </cell>
          <cell r="AA501">
            <v>9599999.8099999987</v>
          </cell>
          <cell r="AB501">
            <v>9621211.8100000024</v>
          </cell>
        </row>
        <row r="502">
          <cell r="E502">
            <v>412209.4</v>
          </cell>
          <cell r="N502">
            <v>412209.4</v>
          </cell>
          <cell r="O502">
            <v>0</v>
          </cell>
          <cell r="X502">
            <v>0</v>
          </cell>
          <cell r="AA502">
            <v>412209.4</v>
          </cell>
          <cell r="AB502">
            <v>0</v>
          </cell>
        </row>
        <row r="503">
          <cell r="E503">
            <v>20063586</v>
          </cell>
          <cell r="N503">
            <v>20063586</v>
          </cell>
          <cell r="O503">
            <v>0</v>
          </cell>
          <cell r="X503">
            <v>0</v>
          </cell>
          <cell r="AA503">
            <v>20063586</v>
          </cell>
          <cell r="AB503">
            <v>0</v>
          </cell>
        </row>
        <row r="504">
          <cell r="E504">
            <v>2327913.9900000002</v>
          </cell>
          <cell r="N504">
            <v>2327913.9900000002</v>
          </cell>
          <cell r="O504">
            <v>0</v>
          </cell>
          <cell r="X504">
            <v>0</v>
          </cell>
          <cell r="AA504">
            <v>2327913.9900000002</v>
          </cell>
          <cell r="AB504">
            <v>0</v>
          </cell>
        </row>
        <row r="505">
          <cell r="E505">
            <v>0</v>
          </cell>
          <cell r="N505">
            <v>0</v>
          </cell>
          <cell r="O505">
            <v>391.46000000000004</v>
          </cell>
          <cell r="X505">
            <v>391.46000000000004</v>
          </cell>
          <cell r="AA505">
            <v>391.46000000000004</v>
          </cell>
          <cell r="AB505">
            <v>188566.61</v>
          </cell>
        </row>
        <row r="506">
          <cell r="E506">
            <v>0</v>
          </cell>
          <cell r="N506">
            <v>0</v>
          </cell>
          <cell r="O506">
            <v>288360.2</v>
          </cell>
          <cell r="X506">
            <v>288360.2</v>
          </cell>
          <cell r="AA506">
            <v>288360.2</v>
          </cell>
          <cell r="AB506">
            <v>3425809.29</v>
          </cell>
        </row>
        <row r="513">
          <cell r="E513">
            <v>6303060.1400000006</v>
          </cell>
          <cell r="N513">
            <v>6303060.1400000006</v>
          </cell>
          <cell r="O513">
            <v>2104537.4900000002</v>
          </cell>
          <cell r="X513">
            <v>2104537.4900000002</v>
          </cell>
          <cell r="AA513">
            <v>8407597.6300000008</v>
          </cell>
          <cell r="AB513">
            <v>34836805.93</v>
          </cell>
        </row>
        <row r="514">
          <cell r="E514">
            <v>2445344.2699999996</v>
          </cell>
          <cell r="N514">
            <v>2445344.2699999996</v>
          </cell>
          <cell r="O514">
            <v>0</v>
          </cell>
          <cell r="X514">
            <v>0</v>
          </cell>
          <cell r="Y514">
            <v>2445344.2699999996</v>
          </cell>
          <cell r="Z514">
            <v>0</v>
          </cell>
          <cell r="AA514">
            <v>2445344.2699999996</v>
          </cell>
          <cell r="AB514">
            <v>0</v>
          </cell>
        </row>
        <row r="515">
          <cell r="E515">
            <v>8746000</v>
          </cell>
          <cell r="N515">
            <v>8746000</v>
          </cell>
          <cell r="O515">
            <v>0</v>
          </cell>
          <cell r="X515">
            <v>0</v>
          </cell>
          <cell r="Y515">
            <v>8746000</v>
          </cell>
          <cell r="Z515">
            <v>0</v>
          </cell>
          <cell r="AA515">
            <v>8746000</v>
          </cell>
          <cell r="AB515">
            <v>0</v>
          </cell>
        </row>
        <row r="516">
          <cell r="E516">
            <v>961600.35</v>
          </cell>
          <cell r="N516">
            <v>961600.35</v>
          </cell>
          <cell r="O516">
            <v>0</v>
          </cell>
          <cell r="X516">
            <v>0</v>
          </cell>
          <cell r="Y516">
            <v>961600.35</v>
          </cell>
          <cell r="Z516">
            <v>0</v>
          </cell>
          <cell r="AA516">
            <v>961600.35</v>
          </cell>
          <cell r="AB516">
            <v>0</v>
          </cell>
        </row>
        <row r="517">
          <cell r="E517">
            <v>26500000</v>
          </cell>
          <cell r="F517">
            <v>3000000</v>
          </cell>
          <cell r="N517">
            <v>29500000</v>
          </cell>
          <cell r="O517">
            <v>0</v>
          </cell>
          <cell r="X517">
            <v>0</v>
          </cell>
          <cell r="Z517">
            <v>0</v>
          </cell>
          <cell r="AA517">
            <v>29500000</v>
          </cell>
          <cell r="AB517">
            <v>0</v>
          </cell>
        </row>
        <row r="518">
          <cell r="E518">
            <v>0</v>
          </cell>
          <cell r="N518">
            <v>0</v>
          </cell>
          <cell r="O518">
            <v>0</v>
          </cell>
          <cell r="X518">
            <v>0</v>
          </cell>
          <cell r="Y518">
            <v>0</v>
          </cell>
          <cell r="AA518">
            <v>0</v>
          </cell>
          <cell r="AB518">
            <v>11433637.23</v>
          </cell>
        </row>
        <row r="519">
          <cell r="E519">
            <v>0</v>
          </cell>
          <cell r="N519">
            <v>0</v>
          </cell>
          <cell r="O519">
            <v>0</v>
          </cell>
          <cell r="X519">
            <v>0</v>
          </cell>
          <cell r="Y519">
            <v>0</v>
          </cell>
          <cell r="AA519">
            <v>0</v>
          </cell>
          <cell r="AB519">
            <v>2487842.12</v>
          </cell>
        </row>
        <row r="524">
          <cell r="E524">
            <v>0</v>
          </cell>
          <cell r="N524">
            <v>0</v>
          </cell>
          <cell r="O524">
            <v>15288522.569999998</v>
          </cell>
          <cell r="S524">
            <v>8036987.5499999998</v>
          </cell>
          <cell r="T524">
            <v>2809752.8</v>
          </cell>
          <cell r="X524">
            <v>15288522.569999998</v>
          </cell>
          <cell r="AA524">
            <v>15288522.569999998</v>
          </cell>
          <cell r="AB524">
            <v>4319910.5300000031</v>
          </cell>
        </row>
        <row r="525">
          <cell r="E525">
            <v>4910344.63</v>
          </cell>
          <cell r="L525">
            <v>0</v>
          </cell>
          <cell r="N525">
            <v>4910344.63</v>
          </cell>
          <cell r="O525">
            <v>0</v>
          </cell>
          <cell r="X525">
            <v>0</v>
          </cell>
          <cell r="AA525">
            <v>4910344.63</v>
          </cell>
          <cell r="AB525">
            <v>0</v>
          </cell>
        </row>
        <row r="526">
          <cell r="E526">
            <v>4800000</v>
          </cell>
          <cell r="L526">
            <v>0</v>
          </cell>
          <cell r="N526">
            <v>4800000</v>
          </cell>
          <cell r="O526">
            <v>0</v>
          </cell>
          <cell r="X526">
            <v>0</v>
          </cell>
          <cell r="AA526">
            <v>4800000</v>
          </cell>
          <cell r="AB526">
            <v>0</v>
          </cell>
        </row>
        <row r="527">
          <cell r="E527">
            <v>0</v>
          </cell>
          <cell r="L527">
            <v>0</v>
          </cell>
          <cell r="N527">
            <v>0</v>
          </cell>
          <cell r="O527">
            <v>722545.8</v>
          </cell>
          <cell r="X527">
            <v>722545.8</v>
          </cell>
          <cell r="AA527">
            <v>722545.8</v>
          </cell>
          <cell r="AB527">
            <v>45185880.640000001</v>
          </cell>
        </row>
        <row r="528">
          <cell r="E528">
            <v>0</v>
          </cell>
          <cell r="L528">
            <v>0</v>
          </cell>
          <cell r="N528">
            <v>0</v>
          </cell>
          <cell r="O528">
            <v>0</v>
          </cell>
          <cell r="X528">
            <v>0</v>
          </cell>
          <cell r="AA528">
            <v>0</v>
          </cell>
          <cell r="AB528">
            <v>4086852.24</v>
          </cell>
        </row>
        <row r="533">
          <cell r="E533">
            <v>0</v>
          </cell>
          <cell r="N533">
            <v>0</v>
          </cell>
          <cell r="O533">
            <v>2585179.5900000003</v>
          </cell>
          <cell r="X533">
            <v>2585179.5900000003</v>
          </cell>
          <cell r="AA533">
            <v>2585179.5900000003</v>
          </cell>
          <cell r="AB533">
            <v>34382741.559999995</v>
          </cell>
        </row>
        <row r="534">
          <cell r="E534">
            <v>2957018.73</v>
          </cell>
          <cell r="N534">
            <v>2957018.73</v>
          </cell>
          <cell r="O534">
            <v>0</v>
          </cell>
          <cell r="X534">
            <v>0</v>
          </cell>
          <cell r="AA534">
            <v>2957018.73</v>
          </cell>
          <cell r="AB534">
            <v>0</v>
          </cell>
        </row>
        <row r="535">
          <cell r="E535">
            <v>2454776.0830000001</v>
          </cell>
          <cell r="N535">
            <v>2454776.0830000001</v>
          </cell>
          <cell r="O535">
            <v>0</v>
          </cell>
          <cell r="X535">
            <v>0</v>
          </cell>
          <cell r="AA535">
            <v>2454776.0830000001</v>
          </cell>
          <cell r="AB535">
            <v>-3.0000000260770321E-3</v>
          </cell>
        </row>
        <row r="536">
          <cell r="E536">
            <v>0</v>
          </cell>
          <cell r="N536">
            <v>0</v>
          </cell>
          <cell r="O536">
            <v>7011422.6899999995</v>
          </cell>
          <cell r="X536">
            <v>7011422.6899999995</v>
          </cell>
          <cell r="AA536">
            <v>7011422.6899999995</v>
          </cell>
          <cell r="AB536">
            <v>38035164.150000006</v>
          </cell>
        </row>
        <row r="537">
          <cell r="E537">
            <v>0</v>
          </cell>
          <cell r="N537">
            <v>0</v>
          </cell>
          <cell r="O537">
            <v>16304159.289999999</v>
          </cell>
          <cell r="X537">
            <v>16304159.289999999</v>
          </cell>
          <cell r="AA537">
            <v>16304159.289999999</v>
          </cell>
          <cell r="AB537">
            <v>0</v>
          </cell>
        </row>
        <row r="542">
          <cell r="E542">
            <v>0</v>
          </cell>
          <cell r="N542">
            <v>0</v>
          </cell>
          <cell r="O542">
            <v>0</v>
          </cell>
          <cell r="X542">
            <v>0</v>
          </cell>
          <cell r="AA542">
            <v>0</v>
          </cell>
          <cell r="AB542">
            <v>0</v>
          </cell>
        </row>
        <row r="543">
          <cell r="E543">
            <v>511867</v>
          </cell>
          <cell r="N543">
            <v>511867</v>
          </cell>
          <cell r="O543">
            <v>0</v>
          </cell>
          <cell r="X543">
            <v>0</v>
          </cell>
          <cell r="AA543">
            <v>511867</v>
          </cell>
          <cell r="AB543">
            <v>0</v>
          </cell>
        </row>
        <row r="544">
          <cell r="E544">
            <v>0</v>
          </cell>
          <cell r="N544">
            <v>0</v>
          </cell>
          <cell r="O544">
            <v>5188692.59</v>
          </cell>
          <cell r="X544">
            <v>5188692.59</v>
          </cell>
          <cell r="AA544">
            <v>5188692.59</v>
          </cell>
          <cell r="AB544">
            <v>0</v>
          </cell>
        </row>
        <row r="545">
          <cell r="E545">
            <v>0</v>
          </cell>
          <cell r="N545">
            <v>0</v>
          </cell>
          <cell r="O545">
            <v>0</v>
          </cell>
          <cell r="X545">
            <v>0</v>
          </cell>
          <cell r="AA545">
            <v>0</v>
          </cell>
          <cell r="AB545">
            <v>2456018</v>
          </cell>
        </row>
        <row r="546">
          <cell r="D546">
            <v>10700092.23</v>
          </cell>
          <cell r="E546">
            <v>0</v>
          </cell>
          <cell r="N546">
            <v>0</v>
          </cell>
          <cell r="O546">
            <v>10700092.229999999</v>
          </cell>
          <cell r="X546">
            <v>10700092.229999999</v>
          </cell>
          <cell r="AA546">
            <v>10700092.229999999</v>
          </cell>
          <cell r="AB546">
            <v>0</v>
          </cell>
        </row>
        <row r="551">
          <cell r="E551">
            <v>0</v>
          </cell>
          <cell r="N551">
            <v>0</v>
          </cell>
          <cell r="O551">
            <v>10558.630000000005</v>
          </cell>
          <cell r="X551">
            <v>10558.630000000005</v>
          </cell>
          <cell r="AA551">
            <v>10558.630000000005</v>
          </cell>
          <cell r="AB551">
            <v>63905926.989999995</v>
          </cell>
        </row>
        <row r="552">
          <cell r="E552">
            <v>0</v>
          </cell>
          <cell r="N552">
            <v>0</v>
          </cell>
          <cell r="O552">
            <v>0</v>
          </cell>
          <cell r="X552">
            <v>0</v>
          </cell>
          <cell r="AA552">
            <v>0</v>
          </cell>
          <cell r="AB552">
            <v>182409.37</v>
          </cell>
        </row>
        <row r="553">
          <cell r="E553">
            <v>0</v>
          </cell>
          <cell r="N553">
            <v>0</v>
          </cell>
          <cell r="O553">
            <v>0</v>
          </cell>
          <cell r="X553">
            <v>0</v>
          </cell>
          <cell r="AA553">
            <v>0</v>
          </cell>
          <cell r="AB553">
            <v>294634</v>
          </cell>
        </row>
        <row r="558">
          <cell r="E558">
            <v>0</v>
          </cell>
          <cell r="N558">
            <v>0</v>
          </cell>
          <cell r="O558">
            <v>1729944.8499999999</v>
          </cell>
          <cell r="X558">
            <v>1729944.8499999999</v>
          </cell>
          <cell r="AA558">
            <v>1729944.8499999999</v>
          </cell>
          <cell r="AB558">
            <v>38114963.399999991</v>
          </cell>
        </row>
        <row r="559">
          <cell r="E559">
            <v>5398276.9900000002</v>
          </cell>
          <cell r="N559">
            <v>5398276.9900000002</v>
          </cell>
          <cell r="O559">
            <v>0</v>
          </cell>
          <cell r="X559">
            <v>0</v>
          </cell>
          <cell r="AA559">
            <v>5398276.9900000002</v>
          </cell>
          <cell r="AB559">
            <v>0</v>
          </cell>
        </row>
        <row r="560">
          <cell r="E560">
            <v>2147487.5</v>
          </cell>
          <cell r="N560">
            <v>2147487.5</v>
          </cell>
          <cell r="O560">
            <v>0</v>
          </cell>
          <cell r="X560">
            <v>0</v>
          </cell>
          <cell r="AA560">
            <v>2147487.5</v>
          </cell>
          <cell r="AB560">
            <v>0</v>
          </cell>
        </row>
        <row r="561">
          <cell r="E561">
            <v>2842000</v>
          </cell>
          <cell r="N561">
            <v>2842000</v>
          </cell>
          <cell r="O561">
            <v>0</v>
          </cell>
          <cell r="X561">
            <v>0</v>
          </cell>
          <cell r="AA561">
            <v>2842000</v>
          </cell>
          <cell r="AB561">
            <v>0</v>
          </cell>
        </row>
        <row r="562">
          <cell r="E562">
            <v>0</v>
          </cell>
          <cell r="N562">
            <v>0</v>
          </cell>
          <cell r="O562">
            <v>8127029.4300000006</v>
          </cell>
          <cell r="X562">
            <v>8127029.4300000006</v>
          </cell>
          <cell r="AA562">
            <v>8127029.4300000006</v>
          </cell>
          <cell r="AB562">
            <v>0</v>
          </cell>
        </row>
        <row r="563">
          <cell r="E563">
            <v>0</v>
          </cell>
          <cell r="N563">
            <v>0</v>
          </cell>
          <cell r="O563">
            <v>10787951.539999999</v>
          </cell>
          <cell r="X563">
            <v>10787951.539999999</v>
          </cell>
          <cell r="AA563">
            <v>10787951.539999999</v>
          </cell>
          <cell r="AB563">
            <v>0</v>
          </cell>
        </row>
        <row r="568">
          <cell r="D568">
            <v>1276340.48</v>
          </cell>
          <cell r="E568">
            <v>0</v>
          </cell>
          <cell r="N568">
            <v>0</v>
          </cell>
          <cell r="O568">
            <v>0</v>
          </cell>
          <cell r="X568">
            <v>0</v>
          </cell>
          <cell r="AA568">
            <v>0</v>
          </cell>
          <cell r="AB568">
            <v>1276340.48</v>
          </cell>
        </row>
        <row r="569">
          <cell r="D569">
            <v>8000000</v>
          </cell>
          <cell r="E569">
            <v>8000000</v>
          </cell>
          <cell r="N569">
            <v>8000000</v>
          </cell>
          <cell r="O569">
            <v>0</v>
          </cell>
          <cell r="R569">
            <v>0</v>
          </cell>
          <cell r="X569">
            <v>0</v>
          </cell>
          <cell r="AA569">
            <v>8000000</v>
          </cell>
          <cell r="AB569">
            <v>0</v>
          </cell>
        </row>
        <row r="570">
          <cell r="D570">
            <v>1280995.52</v>
          </cell>
          <cell r="E570">
            <v>1280995.52</v>
          </cell>
          <cell r="N570">
            <v>1280995.52</v>
          </cell>
          <cell r="O570">
            <v>0</v>
          </cell>
          <cell r="R570">
            <v>0</v>
          </cell>
          <cell r="X570">
            <v>0</v>
          </cell>
          <cell r="AA570">
            <v>1280995.52</v>
          </cell>
          <cell r="AB570">
            <v>0</v>
          </cell>
        </row>
        <row r="571">
          <cell r="D571">
            <v>2679521.69</v>
          </cell>
          <cell r="E571">
            <v>0</v>
          </cell>
          <cell r="N571">
            <v>0</v>
          </cell>
          <cell r="O571">
            <v>0</v>
          </cell>
          <cell r="R571">
            <v>0</v>
          </cell>
          <cell r="S571">
            <v>0</v>
          </cell>
          <cell r="X571">
            <v>0</v>
          </cell>
          <cell r="AA571">
            <v>0</v>
          </cell>
          <cell r="AB571">
            <v>2679521.69</v>
          </cell>
        </row>
        <row r="581">
          <cell r="E581">
            <v>31075446</v>
          </cell>
          <cell r="N581">
            <v>31075446</v>
          </cell>
          <cell r="O581">
            <v>2818263.3600000003</v>
          </cell>
          <cell r="X581">
            <v>2818263.3600000003</v>
          </cell>
          <cell r="AA581">
            <v>33893709.359999999</v>
          </cell>
          <cell r="AB581">
            <v>209876.51000000443</v>
          </cell>
        </row>
        <row r="582">
          <cell r="E582">
            <v>2118204</v>
          </cell>
          <cell r="N582">
            <v>2118204</v>
          </cell>
          <cell r="X582">
            <v>0</v>
          </cell>
          <cell r="AA582">
            <v>2118204</v>
          </cell>
          <cell r="AB582">
            <v>0</v>
          </cell>
        </row>
        <row r="583">
          <cell r="E583">
            <v>34199417.729999997</v>
          </cell>
          <cell r="N583">
            <v>34199417.729999997</v>
          </cell>
          <cell r="X583">
            <v>0</v>
          </cell>
          <cell r="AA583">
            <v>34199417.729999997</v>
          </cell>
          <cell r="AB583">
            <v>0</v>
          </cell>
        </row>
        <row r="584">
          <cell r="E584">
            <v>6732875.3300000001</v>
          </cell>
          <cell r="N584">
            <v>6732875.3300000001</v>
          </cell>
          <cell r="X584">
            <v>0</v>
          </cell>
          <cell r="AA584">
            <v>6732875.3300000001</v>
          </cell>
          <cell r="AB584">
            <v>0</v>
          </cell>
        </row>
        <row r="585">
          <cell r="F585">
            <v>24000000</v>
          </cell>
          <cell r="N585">
            <v>24000000</v>
          </cell>
          <cell r="X585">
            <v>0</v>
          </cell>
          <cell r="AA585">
            <v>24000000</v>
          </cell>
          <cell r="AB585">
            <v>0</v>
          </cell>
        </row>
        <row r="586">
          <cell r="N586">
            <v>0</v>
          </cell>
          <cell r="X586">
            <v>0</v>
          </cell>
          <cell r="AA586">
            <v>0</v>
          </cell>
          <cell r="AB586">
            <v>656062.4</v>
          </cell>
        </row>
        <row r="587">
          <cell r="N587">
            <v>0</v>
          </cell>
          <cell r="O587">
            <v>4077414.63</v>
          </cell>
          <cell r="X587">
            <v>4077414.63</v>
          </cell>
          <cell r="AA587">
            <v>4077414.63</v>
          </cell>
          <cell r="AB587">
            <v>10740730.379999999</v>
          </cell>
        </row>
        <row r="592">
          <cell r="N592">
            <v>0</v>
          </cell>
          <cell r="X592">
            <v>0</v>
          </cell>
          <cell r="AA592">
            <v>0</v>
          </cell>
          <cell r="AB592">
            <v>5314028.8</v>
          </cell>
        </row>
        <row r="593">
          <cell r="E593">
            <v>1379685</v>
          </cell>
          <cell r="N593">
            <v>1379685</v>
          </cell>
          <cell r="X593">
            <v>0</v>
          </cell>
          <cell r="AA593">
            <v>1379685</v>
          </cell>
          <cell r="AB593">
            <v>0</v>
          </cell>
        </row>
        <row r="594">
          <cell r="N594">
            <v>0</v>
          </cell>
          <cell r="X594">
            <v>0</v>
          </cell>
          <cell r="AA594">
            <v>0</v>
          </cell>
          <cell r="AB594">
            <v>293396.2</v>
          </cell>
        </row>
        <row r="598">
          <cell r="N598">
            <v>0</v>
          </cell>
          <cell r="X598">
            <v>0</v>
          </cell>
          <cell r="AA598">
            <v>0</v>
          </cell>
          <cell r="AB598">
            <v>28784041.859999999</v>
          </cell>
        </row>
        <row r="599">
          <cell r="E599">
            <v>2099141</v>
          </cell>
          <cell r="N599">
            <v>2099141</v>
          </cell>
          <cell r="X599">
            <v>0</v>
          </cell>
          <cell r="AA599">
            <v>2099141</v>
          </cell>
          <cell r="AB599">
            <v>0</v>
          </cell>
        </row>
        <row r="600">
          <cell r="E600">
            <v>28245625</v>
          </cell>
          <cell r="N600">
            <v>28245625</v>
          </cell>
          <cell r="X600">
            <v>0</v>
          </cell>
          <cell r="AA600">
            <v>28245625</v>
          </cell>
          <cell r="AB600">
            <v>0</v>
          </cell>
        </row>
        <row r="601">
          <cell r="N601">
            <v>0</v>
          </cell>
          <cell r="O601">
            <v>8484732.25</v>
          </cell>
          <cell r="X601">
            <v>8484732.25</v>
          </cell>
          <cell r="AA601">
            <v>8484732.25</v>
          </cell>
          <cell r="AB601">
            <v>22505887.909999996</v>
          </cell>
        </row>
        <row r="602">
          <cell r="E602">
            <v>7800000</v>
          </cell>
          <cell r="N602">
            <v>7800000</v>
          </cell>
          <cell r="R602">
            <v>0</v>
          </cell>
          <cell r="X602">
            <v>0</v>
          </cell>
          <cell r="AA602">
            <v>7800000</v>
          </cell>
          <cell r="AB602">
            <v>0</v>
          </cell>
        </row>
        <row r="603">
          <cell r="E603">
            <v>261045398.30000001</v>
          </cell>
          <cell r="F603">
            <v>23000000</v>
          </cell>
          <cell r="N603">
            <v>284045398.30000001</v>
          </cell>
          <cell r="R603">
            <v>0</v>
          </cell>
          <cell r="X603">
            <v>0</v>
          </cell>
          <cell r="AA603">
            <v>284045398.30000001</v>
          </cell>
          <cell r="AB603">
            <v>0</v>
          </cell>
        </row>
        <row r="604">
          <cell r="N604">
            <v>0</v>
          </cell>
          <cell r="R604">
            <v>0</v>
          </cell>
          <cell r="X604">
            <v>0</v>
          </cell>
          <cell r="AA604">
            <v>0</v>
          </cell>
          <cell r="AB604">
            <v>1351582.99</v>
          </cell>
        </row>
        <row r="608">
          <cell r="N608">
            <v>0</v>
          </cell>
          <cell r="O608">
            <v>8805231.6900000013</v>
          </cell>
          <cell r="X608">
            <v>8805231.6900000013</v>
          </cell>
          <cell r="AA608">
            <v>8805231.6900000013</v>
          </cell>
          <cell r="AB608">
            <v>-106571.96000000089</v>
          </cell>
        </row>
        <row r="609">
          <cell r="E609">
            <v>2191296</v>
          </cell>
          <cell r="N609">
            <v>2191296</v>
          </cell>
          <cell r="X609">
            <v>0</v>
          </cell>
          <cell r="AA609">
            <v>2191296</v>
          </cell>
          <cell r="AB609">
            <v>0</v>
          </cell>
        </row>
        <row r="610">
          <cell r="N610">
            <v>0</v>
          </cell>
          <cell r="O610">
            <v>10468432.160000002</v>
          </cell>
          <cell r="X610">
            <v>10468432.160000002</v>
          </cell>
          <cell r="AA610">
            <v>10468432.160000002</v>
          </cell>
          <cell r="AB610">
            <v>0</v>
          </cell>
        </row>
        <row r="611">
          <cell r="N611">
            <v>0</v>
          </cell>
          <cell r="O611">
            <v>0</v>
          </cell>
          <cell r="X611">
            <v>0</v>
          </cell>
          <cell r="AA611">
            <v>0</v>
          </cell>
          <cell r="AB611">
            <v>350830.46</v>
          </cell>
        </row>
        <row r="612">
          <cell r="N612">
            <v>0</v>
          </cell>
          <cell r="X612">
            <v>0</v>
          </cell>
          <cell r="AA612">
            <v>0</v>
          </cell>
          <cell r="AB612">
            <v>0</v>
          </cell>
        </row>
        <row r="613">
          <cell r="E613">
            <v>6791289.1600000001</v>
          </cell>
          <cell r="N613">
            <v>6791289.1600000001</v>
          </cell>
          <cell r="X613">
            <v>0</v>
          </cell>
          <cell r="AA613">
            <v>6791289.1600000001</v>
          </cell>
          <cell r="AB613">
            <v>3208710.84</v>
          </cell>
        </row>
        <row r="619">
          <cell r="N619">
            <v>0</v>
          </cell>
          <cell r="O619">
            <v>734</v>
          </cell>
          <cell r="X619">
            <v>734</v>
          </cell>
          <cell r="AA619">
            <v>734</v>
          </cell>
          <cell r="AB619">
            <v>17805854.469999999</v>
          </cell>
        </row>
        <row r="620">
          <cell r="E620">
            <v>2107710</v>
          </cell>
          <cell r="N620">
            <v>2107710</v>
          </cell>
          <cell r="O620">
            <v>0</v>
          </cell>
          <cell r="X620">
            <v>0</v>
          </cell>
          <cell r="AA620">
            <v>2107710</v>
          </cell>
          <cell r="AB620">
            <v>0</v>
          </cell>
        </row>
        <row r="621">
          <cell r="N621">
            <v>0</v>
          </cell>
          <cell r="O621">
            <v>0</v>
          </cell>
          <cell r="X621">
            <v>0</v>
          </cell>
          <cell r="AA621">
            <v>0</v>
          </cell>
          <cell r="AB621">
            <v>758429.39</v>
          </cell>
        </row>
        <row r="625">
          <cell r="N625">
            <v>0</v>
          </cell>
          <cell r="O625">
            <v>117163.2</v>
          </cell>
          <cell r="X625">
            <v>117163.2</v>
          </cell>
          <cell r="AA625">
            <v>117163.2</v>
          </cell>
          <cell r="AB625">
            <v>6942706.2600000007</v>
          </cell>
        </row>
        <row r="626">
          <cell r="E626">
            <v>2879638</v>
          </cell>
          <cell r="H626">
            <v>2879638</v>
          </cell>
          <cell r="N626">
            <v>2879638</v>
          </cell>
          <cell r="R626">
            <v>0</v>
          </cell>
          <cell r="X626">
            <v>0</v>
          </cell>
          <cell r="AA626">
            <v>2879638</v>
          </cell>
          <cell r="AB626">
            <v>0</v>
          </cell>
        </row>
        <row r="627">
          <cell r="H627">
            <v>0</v>
          </cell>
          <cell r="N627">
            <v>0</v>
          </cell>
          <cell r="O627">
            <v>9903123.1400000006</v>
          </cell>
          <cell r="R627">
            <v>9903123.1400000006</v>
          </cell>
          <cell r="X627">
            <v>9903123.1400000006</v>
          </cell>
          <cell r="AA627">
            <v>9903123.1400000006</v>
          </cell>
          <cell r="AB627">
            <v>0</v>
          </cell>
        </row>
        <row r="628">
          <cell r="H628">
            <v>0</v>
          </cell>
          <cell r="N628">
            <v>0</v>
          </cell>
          <cell r="X628">
            <v>0</v>
          </cell>
          <cell r="AA628">
            <v>0</v>
          </cell>
          <cell r="AB628">
            <v>0</v>
          </cell>
        </row>
        <row r="629">
          <cell r="H629">
            <v>0</v>
          </cell>
          <cell r="N629">
            <v>0</v>
          </cell>
          <cell r="O629">
            <v>5096366.7699999996</v>
          </cell>
          <cell r="R629">
            <v>5096366.7699999996</v>
          </cell>
          <cell r="X629">
            <v>5096366.7699999996</v>
          </cell>
          <cell r="AA629">
            <v>5096366.7699999996</v>
          </cell>
          <cell r="AB629">
            <v>0</v>
          </cell>
        </row>
        <row r="635">
          <cell r="N635">
            <v>0</v>
          </cell>
          <cell r="O635">
            <v>137288.60999999999</v>
          </cell>
          <cell r="X635">
            <v>137288.60999999999</v>
          </cell>
          <cell r="AA635">
            <v>137288.60999999999</v>
          </cell>
          <cell r="AB635">
            <v>253541.26</v>
          </cell>
        </row>
        <row r="636">
          <cell r="E636">
            <v>1048781</v>
          </cell>
          <cell r="N636">
            <v>1048781</v>
          </cell>
          <cell r="X636">
            <v>0</v>
          </cell>
          <cell r="Y636">
            <v>1048781</v>
          </cell>
          <cell r="Z636">
            <v>0</v>
          </cell>
          <cell r="AA636">
            <v>1048781</v>
          </cell>
          <cell r="AB636">
            <v>0</v>
          </cell>
        </row>
        <row r="637">
          <cell r="E637">
            <v>60000000</v>
          </cell>
          <cell r="F637">
            <v>30000000</v>
          </cell>
          <cell r="N637">
            <v>90000000</v>
          </cell>
          <cell r="X637">
            <v>0</v>
          </cell>
          <cell r="Z637">
            <v>0</v>
          </cell>
          <cell r="AA637">
            <v>90000000</v>
          </cell>
          <cell r="AB637">
            <v>0</v>
          </cell>
        </row>
        <row r="638">
          <cell r="E638">
            <v>48814406.009999998</v>
          </cell>
          <cell r="N638">
            <v>48814406.009999998</v>
          </cell>
          <cell r="X638">
            <v>0</v>
          </cell>
          <cell r="Z638">
            <v>0</v>
          </cell>
          <cell r="AA638">
            <v>48814406.009999998</v>
          </cell>
          <cell r="AB638">
            <v>0</v>
          </cell>
        </row>
        <row r="639">
          <cell r="N639">
            <v>0</v>
          </cell>
          <cell r="X639">
            <v>0</v>
          </cell>
          <cell r="AA639">
            <v>0</v>
          </cell>
          <cell r="AB639">
            <v>8999353.7200000007</v>
          </cell>
        </row>
        <row r="640">
          <cell r="N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</row>
        <row r="644">
          <cell r="N644">
            <v>0</v>
          </cell>
          <cell r="X644">
            <v>0</v>
          </cell>
          <cell r="AA644">
            <v>0</v>
          </cell>
          <cell r="AB644">
            <v>0</v>
          </cell>
        </row>
        <row r="645">
          <cell r="E645">
            <v>1175671</v>
          </cell>
          <cell r="N645">
            <v>1175671</v>
          </cell>
          <cell r="X645">
            <v>0</v>
          </cell>
          <cell r="AA645">
            <v>1175671</v>
          </cell>
          <cell r="AB645">
            <v>0</v>
          </cell>
        </row>
        <row r="646">
          <cell r="E646">
            <v>7200537.5</v>
          </cell>
          <cell r="N646">
            <v>7200537.5</v>
          </cell>
          <cell r="X646">
            <v>0</v>
          </cell>
          <cell r="AA646">
            <v>7200537.5</v>
          </cell>
          <cell r="AB646">
            <v>0</v>
          </cell>
        </row>
        <row r="647">
          <cell r="N647">
            <v>0</v>
          </cell>
          <cell r="X647">
            <v>0</v>
          </cell>
          <cell r="AA647">
            <v>0</v>
          </cell>
          <cell r="AB647">
            <v>23584845.27</v>
          </cell>
        </row>
        <row r="651">
          <cell r="N651">
            <v>0</v>
          </cell>
          <cell r="X651">
            <v>0</v>
          </cell>
          <cell r="AA651">
            <v>0</v>
          </cell>
          <cell r="AB651">
            <v>17329614.469999999</v>
          </cell>
        </row>
        <row r="652">
          <cell r="E652">
            <v>3000000</v>
          </cell>
          <cell r="N652">
            <v>3000000</v>
          </cell>
          <cell r="X652">
            <v>0</v>
          </cell>
          <cell r="AA652">
            <v>3000000</v>
          </cell>
          <cell r="AB652">
            <v>0</v>
          </cell>
        </row>
        <row r="653">
          <cell r="E653">
            <v>2119977</v>
          </cell>
          <cell r="N653">
            <v>2119977</v>
          </cell>
          <cell r="X653">
            <v>0</v>
          </cell>
          <cell r="AA653">
            <v>2119977</v>
          </cell>
          <cell r="AB653">
            <v>0</v>
          </cell>
        </row>
        <row r="654">
          <cell r="E654">
            <v>9500000</v>
          </cell>
          <cell r="N654">
            <v>9500000</v>
          </cell>
          <cell r="X654">
            <v>0</v>
          </cell>
          <cell r="AA654">
            <v>9500000</v>
          </cell>
          <cell r="AB654">
            <v>0</v>
          </cell>
        </row>
        <row r="655">
          <cell r="E655">
            <v>100000000</v>
          </cell>
          <cell r="F655">
            <v>25000000</v>
          </cell>
          <cell r="N655">
            <v>125000000</v>
          </cell>
          <cell r="X655">
            <v>0</v>
          </cell>
          <cell r="AA655">
            <v>125000000</v>
          </cell>
          <cell r="AB655">
            <v>0</v>
          </cell>
        </row>
        <row r="656">
          <cell r="N656">
            <v>0</v>
          </cell>
          <cell r="X656">
            <v>0</v>
          </cell>
          <cell r="AA656">
            <v>0</v>
          </cell>
          <cell r="AB656">
            <v>815039.36</v>
          </cell>
        </row>
        <row r="657">
          <cell r="N657">
            <v>0</v>
          </cell>
          <cell r="O657">
            <v>1138553.9099999999</v>
          </cell>
          <cell r="X657">
            <v>1138553.9099999999</v>
          </cell>
          <cell r="AA657">
            <v>1138553.9099999999</v>
          </cell>
          <cell r="AB657">
            <v>75621376.820000008</v>
          </cell>
        </row>
        <row r="658">
          <cell r="N658">
            <v>0</v>
          </cell>
          <cell r="X658">
            <v>0</v>
          </cell>
          <cell r="AA658">
            <v>0</v>
          </cell>
          <cell r="AB658">
            <v>1531712.09</v>
          </cell>
        </row>
        <row r="662">
          <cell r="N662">
            <v>0</v>
          </cell>
          <cell r="X662">
            <v>0</v>
          </cell>
          <cell r="AA662">
            <v>0</v>
          </cell>
          <cell r="AB662">
            <v>61351709.689999998</v>
          </cell>
        </row>
        <row r="663">
          <cell r="E663">
            <v>1185800</v>
          </cell>
          <cell r="N663">
            <v>1185800</v>
          </cell>
          <cell r="X663">
            <v>0</v>
          </cell>
          <cell r="AA663">
            <v>1185800</v>
          </cell>
          <cell r="AB663">
            <v>0</v>
          </cell>
        </row>
        <row r="664">
          <cell r="E664">
            <v>2000000</v>
          </cell>
          <cell r="N664">
            <v>2000000</v>
          </cell>
          <cell r="X664">
            <v>0</v>
          </cell>
          <cell r="AA664">
            <v>2000000</v>
          </cell>
          <cell r="AB664">
            <v>0</v>
          </cell>
        </row>
        <row r="673">
          <cell r="E673">
            <v>0</v>
          </cell>
          <cell r="N673">
            <v>0</v>
          </cell>
          <cell r="O673">
            <v>3633082.84</v>
          </cell>
          <cell r="X673">
            <v>3633082.84</v>
          </cell>
          <cell r="AA673">
            <v>3633082.84</v>
          </cell>
          <cell r="AB673">
            <v>20194421.25</v>
          </cell>
        </row>
        <row r="674">
          <cell r="E674">
            <v>0</v>
          </cell>
          <cell r="N674">
            <v>0</v>
          </cell>
          <cell r="O674">
            <v>0</v>
          </cell>
          <cell r="X674">
            <v>0</v>
          </cell>
          <cell r="AA674">
            <v>0</v>
          </cell>
          <cell r="AB674">
            <v>813905.19</v>
          </cell>
        </row>
        <row r="675">
          <cell r="E675">
            <v>0</v>
          </cell>
          <cell r="N675">
            <v>0</v>
          </cell>
          <cell r="O675">
            <v>0</v>
          </cell>
          <cell r="X675">
            <v>0</v>
          </cell>
          <cell r="AA675">
            <v>0</v>
          </cell>
          <cell r="AB675">
            <v>3400000</v>
          </cell>
        </row>
        <row r="680">
          <cell r="E680">
            <v>0</v>
          </cell>
          <cell r="N680">
            <v>0</v>
          </cell>
          <cell r="O680">
            <v>9751</v>
          </cell>
          <cell r="X680">
            <v>9751</v>
          </cell>
          <cell r="AA680">
            <v>9751</v>
          </cell>
          <cell r="AB680">
            <v>238687.46</v>
          </cell>
        </row>
        <row r="681">
          <cell r="E681">
            <v>36000</v>
          </cell>
          <cell r="N681">
            <v>36000</v>
          </cell>
          <cell r="O681">
            <v>0</v>
          </cell>
          <cell r="X681">
            <v>0</v>
          </cell>
          <cell r="AA681">
            <v>36000</v>
          </cell>
          <cell r="AB681">
            <v>0</v>
          </cell>
        </row>
        <row r="682">
          <cell r="E682">
            <v>0</v>
          </cell>
          <cell r="N682">
            <v>0</v>
          </cell>
          <cell r="O682">
            <v>0</v>
          </cell>
          <cell r="X682">
            <v>0</v>
          </cell>
          <cell r="AA682">
            <v>0</v>
          </cell>
          <cell r="AB682">
            <v>2181839.42</v>
          </cell>
        </row>
        <row r="683">
          <cell r="E683">
            <v>0</v>
          </cell>
          <cell r="N683">
            <v>0</v>
          </cell>
          <cell r="O683">
            <v>5011066.59</v>
          </cell>
          <cell r="X683">
            <v>5011066.59</v>
          </cell>
          <cell r="AA683">
            <v>5011066.59</v>
          </cell>
          <cell r="AB683">
            <v>2011639.7599999998</v>
          </cell>
        </row>
        <row r="684">
          <cell r="E684">
            <v>0</v>
          </cell>
          <cell r="N684">
            <v>0</v>
          </cell>
          <cell r="O684">
            <v>5603896.2599999998</v>
          </cell>
          <cell r="X684">
            <v>5603896.2599999998</v>
          </cell>
          <cell r="AA684">
            <v>5603896.2599999998</v>
          </cell>
          <cell r="AB684">
            <v>5726103.7400000002</v>
          </cell>
        </row>
        <row r="689">
          <cell r="E689">
            <v>0</v>
          </cell>
          <cell r="N689">
            <v>0</v>
          </cell>
          <cell r="O689">
            <v>33537.919999999998</v>
          </cell>
          <cell r="X689">
            <v>33537.919999999998</v>
          </cell>
          <cell r="AA689">
            <v>33537.919999999998</v>
          </cell>
          <cell r="AB689">
            <v>0</v>
          </cell>
        </row>
        <row r="690">
          <cell r="E690">
            <v>2222894</v>
          </cell>
          <cell r="N690">
            <v>2222894</v>
          </cell>
          <cell r="O690">
            <v>0</v>
          </cell>
          <cell r="X690">
            <v>0</v>
          </cell>
          <cell r="AA690">
            <v>2222894</v>
          </cell>
          <cell r="AB690">
            <v>0</v>
          </cell>
        </row>
        <row r="691">
          <cell r="E691">
            <v>0</v>
          </cell>
          <cell r="N691">
            <v>0</v>
          </cell>
          <cell r="O691">
            <v>0</v>
          </cell>
          <cell r="X691">
            <v>0</v>
          </cell>
          <cell r="AA691">
            <v>0</v>
          </cell>
          <cell r="AB691">
            <v>0</v>
          </cell>
        </row>
        <row r="692">
          <cell r="E692">
            <v>0</v>
          </cell>
          <cell r="N692">
            <v>0</v>
          </cell>
          <cell r="O692">
            <v>0</v>
          </cell>
          <cell r="X692">
            <v>0</v>
          </cell>
          <cell r="AA692">
            <v>0</v>
          </cell>
          <cell r="AB692">
            <v>0</v>
          </cell>
        </row>
        <row r="693">
          <cell r="E693">
            <v>3406124</v>
          </cell>
          <cell r="N693">
            <v>3406124</v>
          </cell>
          <cell r="O693">
            <v>0</v>
          </cell>
          <cell r="X693">
            <v>0</v>
          </cell>
          <cell r="AA693">
            <v>3406124</v>
          </cell>
          <cell r="AB693">
            <v>0</v>
          </cell>
        </row>
        <row r="697">
          <cell r="O697">
            <v>1006949.06</v>
          </cell>
        </row>
        <row r="698">
          <cell r="E698">
            <v>0</v>
          </cell>
          <cell r="N698">
            <v>0</v>
          </cell>
          <cell r="O698">
            <v>0</v>
          </cell>
          <cell r="X698">
            <v>0</v>
          </cell>
          <cell r="AA698">
            <v>0</v>
          </cell>
          <cell r="AB698">
            <v>12106728.84</v>
          </cell>
        </row>
        <row r="699">
          <cell r="E699">
            <v>3000000</v>
          </cell>
          <cell r="H699">
            <v>3000000</v>
          </cell>
          <cell r="N699">
            <v>3000000</v>
          </cell>
          <cell r="O699">
            <v>0</v>
          </cell>
          <cell r="X699">
            <v>0</v>
          </cell>
          <cell r="AA699">
            <v>3000000</v>
          </cell>
          <cell r="AB699">
            <v>0</v>
          </cell>
        </row>
        <row r="700">
          <cell r="E700">
            <v>0</v>
          </cell>
          <cell r="H700">
            <v>0</v>
          </cell>
          <cell r="N700">
            <v>0</v>
          </cell>
          <cell r="O700">
            <v>0</v>
          </cell>
          <cell r="X700">
            <v>0</v>
          </cell>
          <cell r="AA700">
            <v>0</v>
          </cell>
          <cell r="AB700">
            <v>5878078.9400000004</v>
          </cell>
        </row>
        <row r="701">
          <cell r="E701">
            <v>0</v>
          </cell>
          <cell r="H701">
            <v>0</v>
          </cell>
          <cell r="N701">
            <v>0</v>
          </cell>
          <cell r="O701">
            <v>0</v>
          </cell>
          <cell r="X701">
            <v>0</v>
          </cell>
          <cell r="AA701">
            <v>0</v>
          </cell>
          <cell r="AB701">
            <v>87995.66</v>
          </cell>
        </row>
        <row r="706">
          <cell r="E706">
            <v>0</v>
          </cell>
          <cell r="N706">
            <v>0</v>
          </cell>
          <cell r="O706">
            <v>0</v>
          </cell>
          <cell r="X706">
            <v>0</v>
          </cell>
          <cell r="AA706">
            <v>0</v>
          </cell>
          <cell r="AB706">
            <v>10685213.609999999</v>
          </cell>
        </row>
        <row r="707">
          <cell r="E707">
            <v>1860315</v>
          </cell>
          <cell r="N707">
            <v>1860315</v>
          </cell>
          <cell r="O707">
            <v>0</v>
          </cell>
          <cell r="X707">
            <v>0</v>
          </cell>
          <cell r="AA707">
            <v>1860315</v>
          </cell>
          <cell r="AB707">
            <v>0</v>
          </cell>
        </row>
        <row r="708">
          <cell r="E708">
            <v>13000000</v>
          </cell>
          <cell r="N708">
            <v>13000000</v>
          </cell>
          <cell r="O708">
            <v>0</v>
          </cell>
          <cell r="X708">
            <v>0</v>
          </cell>
          <cell r="AA708">
            <v>13000000</v>
          </cell>
          <cell r="AB708">
            <v>0</v>
          </cell>
        </row>
        <row r="709">
          <cell r="E709">
            <v>0</v>
          </cell>
          <cell r="N709">
            <v>0</v>
          </cell>
          <cell r="O709">
            <v>0</v>
          </cell>
          <cell r="X709">
            <v>0</v>
          </cell>
          <cell r="AA709">
            <v>0</v>
          </cell>
          <cell r="AB709">
            <v>21381879.050000001</v>
          </cell>
        </row>
        <row r="710">
          <cell r="E710">
            <v>0</v>
          </cell>
          <cell r="N710">
            <v>0</v>
          </cell>
          <cell r="O710">
            <v>0</v>
          </cell>
          <cell r="X710">
            <v>0</v>
          </cell>
          <cell r="AA710">
            <v>0</v>
          </cell>
          <cell r="AB710">
            <v>191104.28</v>
          </cell>
        </row>
        <row r="714">
          <cell r="D714">
            <v>235272</v>
          </cell>
          <cell r="O714">
            <v>235272</v>
          </cell>
          <cell r="R714">
            <v>235272</v>
          </cell>
        </row>
        <row r="715">
          <cell r="E715">
            <v>0</v>
          </cell>
          <cell r="N715">
            <v>0</v>
          </cell>
          <cell r="O715">
            <v>115709.2</v>
          </cell>
          <cell r="X715">
            <v>115709.2</v>
          </cell>
          <cell r="AA715">
            <v>115709.2</v>
          </cell>
          <cell r="AB715">
            <v>17723614.370000001</v>
          </cell>
        </row>
        <row r="716">
          <cell r="E716">
            <v>2008032</v>
          </cell>
          <cell r="N716">
            <v>2008032</v>
          </cell>
          <cell r="O716">
            <v>0</v>
          </cell>
          <cell r="X716">
            <v>0</v>
          </cell>
          <cell r="AA716">
            <v>2008032</v>
          </cell>
          <cell r="AB716">
            <v>0</v>
          </cell>
        </row>
        <row r="717">
          <cell r="E717">
            <v>0</v>
          </cell>
          <cell r="F717">
            <v>1500000</v>
          </cell>
          <cell r="N717">
            <v>1500000</v>
          </cell>
          <cell r="O717">
            <v>0</v>
          </cell>
          <cell r="X717">
            <v>0</v>
          </cell>
          <cell r="AA717">
            <v>1500000</v>
          </cell>
          <cell r="AB717">
            <v>0</v>
          </cell>
        </row>
        <row r="718">
          <cell r="E718">
            <v>0</v>
          </cell>
          <cell r="N718">
            <v>0</v>
          </cell>
          <cell r="O718">
            <v>0</v>
          </cell>
          <cell r="X718">
            <v>0</v>
          </cell>
          <cell r="AA718">
            <v>0</v>
          </cell>
          <cell r="AB718">
            <v>0</v>
          </cell>
        </row>
        <row r="719">
          <cell r="E719">
            <v>0</v>
          </cell>
          <cell r="N719">
            <v>0</v>
          </cell>
          <cell r="O719">
            <v>0</v>
          </cell>
          <cell r="X719">
            <v>0</v>
          </cell>
          <cell r="AA719">
            <v>0</v>
          </cell>
          <cell r="AB719">
            <v>802340.8899999999</v>
          </cell>
        </row>
        <row r="726">
          <cell r="E726">
            <v>0</v>
          </cell>
          <cell r="N726">
            <v>0</v>
          </cell>
          <cell r="O726">
            <v>0</v>
          </cell>
          <cell r="X726">
            <v>0</v>
          </cell>
          <cell r="AA726">
            <v>0</v>
          </cell>
          <cell r="AB726">
            <v>0</v>
          </cell>
        </row>
        <row r="727">
          <cell r="E727">
            <v>140000</v>
          </cell>
          <cell r="N727">
            <v>140000</v>
          </cell>
          <cell r="O727">
            <v>0</v>
          </cell>
          <cell r="X727">
            <v>0</v>
          </cell>
          <cell r="AA727">
            <v>140000</v>
          </cell>
          <cell r="AB727">
            <v>0</v>
          </cell>
        </row>
        <row r="728">
          <cell r="E728">
            <v>0</v>
          </cell>
          <cell r="N728">
            <v>0</v>
          </cell>
          <cell r="O728">
            <v>0</v>
          </cell>
          <cell r="X728">
            <v>0</v>
          </cell>
          <cell r="AA728">
            <v>0</v>
          </cell>
          <cell r="AB728">
            <v>0</v>
          </cell>
        </row>
        <row r="732">
          <cell r="D732">
            <v>2746934.17</v>
          </cell>
          <cell r="O732">
            <v>2746934.17</v>
          </cell>
          <cell r="R732">
            <v>2746934.17</v>
          </cell>
        </row>
        <row r="733">
          <cell r="E733">
            <v>0</v>
          </cell>
          <cell r="N733">
            <v>0</v>
          </cell>
          <cell r="O733">
            <v>0</v>
          </cell>
          <cell r="R733">
            <v>0</v>
          </cell>
          <cell r="X733">
            <v>0</v>
          </cell>
          <cell r="Y733">
            <v>0</v>
          </cell>
          <cell r="AA733">
            <v>0</v>
          </cell>
          <cell r="AB733">
            <v>13919821.32</v>
          </cell>
        </row>
        <row r="734">
          <cell r="E734">
            <v>4425684</v>
          </cell>
          <cell r="N734">
            <v>4425684</v>
          </cell>
          <cell r="O734">
            <v>0</v>
          </cell>
          <cell r="R734">
            <v>0</v>
          </cell>
          <cell r="X734">
            <v>0</v>
          </cell>
          <cell r="Y734">
            <v>4425684</v>
          </cell>
          <cell r="Z734">
            <v>0</v>
          </cell>
          <cell r="AA734">
            <v>4425684</v>
          </cell>
          <cell r="AB734">
            <v>0</v>
          </cell>
        </row>
        <row r="735">
          <cell r="E735">
            <v>3500000</v>
          </cell>
          <cell r="N735">
            <v>3500000</v>
          </cell>
          <cell r="O735">
            <v>0</v>
          </cell>
          <cell r="R735">
            <v>0</v>
          </cell>
          <cell r="X735">
            <v>0</v>
          </cell>
          <cell r="Y735">
            <v>3500000</v>
          </cell>
          <cell r="Z735">
            <v>0</v>
          </cell>
          <cell r="AA735">
            <v>3500000</v>
          </cell>
          <cell r="AB735">
            <v>0</v>
          </cell>
        </row>
        <row r="736">
          <cell r="E736">
            <v>0</v>
          </cell>
          <cell r="N736">
            <v>0</v>
          </cell>
          <cell r="O736">
            <v>0</v>
          </cell>
          <cell r="R736">
            <v>0</v>
          </cell>
          <cell r="X736">
            <v>0</v>
          </cell>
          <cell r="Y736">
            <v>0</v>
          </cell>
          <cell r="Z736">
            <v>2145700</v>
          </cell>
          <cell r="AA736">
            <v>0</v>
          </cell>
          <cell r="AB736">
            <v>2145700</v>
          </cell>
        </row>
        <row r="741">
          <cell r="E741">
            <v>0</v>
          </cell>
          <cell r="N741">
            <v>0</v>
          </cell>
          <cell r="O741">
            <v>0</v>
          </cell>
          <cell r="X741">
            <v>0</v>
          </cell>
          <cell r="AA741">
            <v>0</v>
          </cell>
          <cell r="AB741">
            <v>4323437.87</v>
          </cell>
        </row>
        <row r="742">
          <cell r="E742">
            <v>2049304.5</v>
          </cell>
          <cell r="N742">
            <v>2049304.5</v>
          </cell>
          <cell r="O742">
            <v>0</v>
          </cell>
          <cell r="X742">
            <v>0</v>
          </cell>
          <cell r="AA742">
            <v>2049304.5</v>
          </cell>
          <cell r="AB742">
            <v>0</v>
          </cell>
        </row>
        <row r="743">
          <cell r="E743">
            <v>0</v>
          </cell>
          <cell r="N743">
            <v>0</v>
          </cell>
          <cell r="O743">
            <v>141345.20000000001</v>
          </cell>
          <cell r="X743">
            <v>141345.20000000001</v>
          </cell>
          <cell r="AA743">
            <v>141345.20000000001</v>
          </cell>
          <cell r="AB743">
            <v>4379027.8</v>
          </cell>
        </row>
        <row r="748">
          <cell r="E748">
            <v>0</v>
          </cell>
          <cell r="N748">
            <v>0</v>
          </cell>
          <cell r="O748">
            <v>0</v>
          </cell>
          <cell r="X748">
            <v>0</v>
          </cell>
          <cell r="AA748">
            <v>0</v>
          </cell>
          <cell r="AB748">
            <v>3253335.64</v>
          </cell>
        </row>
        <row r="749">
          <cell r="E749">
            <v>4867890</v>
          </cell>
          <cell r="N749">
            <v>4867890</v>
          </cell>
          <cell r="O749">
            <v>0</v>
          </cell>
          <cell r="X749">
            <v>0</v>
          </cell>
          <cell r="AA749">
            <v>4867890</v>
          </cell>
          <cell r="AB749">
            <v>0</v>
          </cell>
        </row>
        <row r="759">
          <cell r="N759">
            <v>0</v>
          </cell>
          <cell r="X759">
            <v>0</v>
          </cell>
          <cell r="AA759">
            <v>0</v>
          </cell>
          <cell r="AB759">
            <v>0</v>
          </cell>
        </row>
        <row r="760">
          <cell r="E760">
            <v>1870946</v>
          </cell>
          <cell r="N760">
            <v>1870946</v>
          </cell>
          <cell r="X760">
            <v>0</v>
          </cell>
          <cell r="AA760">
            <v>1870946</v>
          </cell>
          <cell r="AB760">
            <v>0</v>
          </cell>
        </row>
        <row r="761">
          <cell r="E761">
            <v>69494351.060000002</v>
          </cell>
          <cell r="F761">
            <v>10000000</v>
          </cell>
          <cell r="N761">
            <v>79494351.060000002</v>
          </cell>
          <cell r="X761">
            <v>0</v>
          </cell>
          <cell r="AA761">
            <v>79494351.060000002</v>
          </cell>
          <cell r="AB761">
            <v>0</v>
          </cell>
        </row>
        <row r="762">
          <cell r="N762">
            <v>0</v>
          </cell>
          <cell r="O762">
            <v>1271889.51</v>
          </cell>
          <cell r="X762">
            <v>1271889.51</v>
          </cell>
          <cell r="AA762">
            <v>1271889.51</v>
          </cell>
          <cell r="AB762">
            <v>11666401.52</v>
          </cell>
        </row>
        <row r="763">
          <cell r="N763">
            <v>0</v>
          </cell>
          <cell r="O763">
            <v>16105129.970000001</v>
          </cell>
          <cell r="X763">
            <v>16105129.970000001</v>
          </cell>
          <cell r="AA763">
            <v>16105129.970000001</v>
          </cell>
          <cell r="AB763">
            <v>-308500.16999999993</v>
          </cell>
        </row>
        <row r="768">
          <cell r="N768">
            <v>0</v>
          </cell>
          <cell r="O768">
            <v>56072</v>
          </cell>
          <cell r="X768">
            <v>56072</v>
          </cell>
          <cell r="AA768">
            <v>56072</v>
          </cell>
          <cell r="AB768">
            <v>34470448.799999997</v>
          </cell>
        </row>
        <row r="769">
          <cell r="E769">
            <v>564161</v>
          </cell>
          <cell r="N769">
            <v>564161</v>
          </cell>
          <cell r="X769">
            <v>0</v>
          </cell>
          <cell r="AA769">
            <v>564161</v>
          </cell>
          <cell r="AB769">
            <v>0</v>
          </cell>
        </row>
        <row r="770">
          <cell r="N770">
            <v>0</v>
          </cell>
          <cell r="O770">
            <v>2507017.4499999997</v>
          </cell>
          <cell r="X770">
            <v>2507017.4499999997</v>
          </cell>
          <cell r="AA770">
            <v>2507017.4499999997</v>
          </cell>
          <cell r="AB770">
            <v>0</v>
          </cell>
        </row>
        <row r="771">
          <cell r="N771">
            <v>0</v>
          </cell>
          <cell r="O771">
            <v>16304159.289999999</v>
          </cell>
          <cell r="X771">
            <v>16304159.289999999</v>
          </cell>
          <cell r="AA771">
            <v>16304159.289999999</v>
          </cell>
          <cell r="AB771">
            <v>0</v>
          </cell>
        </row>
        <row r="775">
          <cell r="N775">
            <v>0</v>
          </cell>
          <cell r="X775">
            <v>0</v>
          </cell>
          <cell r="AA775">
            <v>0</v>
          </cell>
          <cell r="AB775">
            <v>2557619.83</v>
          </cell>
        </row>
        <row r="776">
          <cell r="E776">
            <v>1697084</v>
          </cell>
          <cell r="N776">
            <v>1697084</v>
          </cell>
          <cell r="X776">
            <v>0</v>
          </cell>
          <cell r="AA776">
            <v>1697084</v>
          </cell>
          <cell r="AB776">
            <v>0</v>
          </cell>
        </row>
        <row r="777">
          <cell r="N777">
            <v>0</v>
          </cell>
          <cell r="X777">
            <v>0</v>
          </cell>
          <cell r="AA777">
            <v>0</v>
          </cell>
          <cell r="AB777">
            <v>457500</v>
          </cell>
        </row>
        <row r="778">
          <cell r="N778">
            <v>0</v>
          </cell>
          <cell r="X778">
            <v>0</v>
          </cell>
          <cell r="AA778">
            <v>0</v>
          </cell>
          <cell r="AB778">
            <v>1783171.83</v>
          </cell>
        </row>
        <row r="782">
          <cell r="N782">
            <v>0</v>
          </cell>
          <cell r="X782">
            <v>0</v>
          </cell>
          <cell r="AA782">
            <v>0</v>
          </cell>
          <cell r="AB782">
            <v>8934053.8800000008</v>
          </cell>
        </row>
        <row r="783">
          <cell r="E783">
            <v>189662</v>
          </cell>
          <cell r="N783">
            <v>189662</v>
          </cell>
          <cell r="X783">
            <v>0</v>
          </cell>
          <cell r="AA783">
            <v>189662</v>
          </cell>
          <cell r="AB783">
            <v>0</v>
          </cell>
        </row>
        <row r="784">
          <cell r="N784">
            <v>0</v>
          </cell>
          <cell r="O784">
            <v>5995171.7699999996</v>
          </cell>
          <cell r="X784">
            <v>5995171.7699999996</v>
          </cell>
          <cell r="AA784">
            <v>5995171.7699999996</v>
          </cell>
          <cell r="AB784">
            <v>3495314.7300000004</v>
          </cell>
        </row>
        <row r="785">
          <cell r="N785">
            <v>0</v>
          </cell>
          <cell r="X785">
            <v>0</v>
          </cell>
          <cell r="AA785">
            <v>0</v>
          </cell>
          <cell r="AB785">
            <v>7038000</v>
          </cell>
        </row>
        <row r="786">
          <cell r="N786">
            <v>0</v>
          </cell>
          <cell r="X786">
            <v>0</v>
          </cell>
          <cell r="AA786">
            <v>0</v>
          </cell>
          <cell r="AB786">
            <v>1613294.6</v>
          </cell>
        </row>
        <row r="790">
          <cell r="N790">
            <v>0</v>
          </cell>
          <cell r="X790">
            <v>0</v>
          </cell>
          <cell r="AA790">
            <v>0</v>
          </cell>
          <cell r="AB790">
            <v>0</v>
          </cell>
        </row>
        <row r="791">
          <cell r="E791">
            <v>21000</v>
          </cell>
          <cell r="N791">
            <v>21000</v>
          </cell>
          <cell r="X791">
            <v>0</v>
          </cell>
          <cell r="AA791">
            <v>21000</v>
          </cell>
          <cell r="AB791">
            <v>0</v>
          </cell>
        </row>
        <row r="792">
          <cell r="E792">
            <v>5000000</v>
          </cell>
          <cell r="N792">
            <v>5000000</v>
          </cell>
          <cell r="X792">
            <v>0</v>
          </cell>
          <cell r="AA792">
            <v>5000000</v>
          </cell>
          <cell r="AB792">
            <v>0</v>
          </cell>
        </row>
        <row r="793">
          <cell r="N793">
            <v>0</v>
          </cell>
          <cell r="O793">
            <v>22943067.109999999</v>
          </cell>
          <cell r="X793">
            <v>22943067.109999999</v>
          </cell>
          <cell r="AA793">
            <v>22943067.109999999</v>
          </cell>
          <cell r="AB793">
            <v>0</v>
          </cell>
        </row>
        <row r="794">
          <cell r="N794">
            <v>0</v>
          </cell>
          <cell r="O794">
            <v>16667019.050000001</v>
          </cell>
          <cell r="X794">
            <v>16667019.050000001</v>
          </cell>
          <cell r="AA794">
            <v>16667019.050000001</v>
          </cell>
          <cell r="AB794">
            <v>0</v>
          </cell>
        </row>
        <row r="795">
          <cell r="N795">
            <v>0</v>
          </cell>
          <cell r="X795">
            <v>0</v>
          </cell>
          <cell r="AA795">
            <v>0</v>
          </cell>
          <cell r="AB795">
            <v>254999.03</v>
          </cell>
        </row>
        <row r="799">
          <cell r="N799">
            <v>0</v>
          </cell>
          <cell r="X799">
            <v>0</v>
          </cell>
          <cell r="AA799">
            <v>0</v>
          </cell>
          <cell r="AB799">
            <v>38431551.149999999</v>
          </cell>
        </row>
        <row r="800">
          <cell r="E800">
            <v>2291138</v>
          </cell>
          <cell r="N800">
            <v>2291138</v>
          </cell>
          <cell r="X800">
            <v>0</v>
          </cell>
          <cell r="AA800">
            <v>2291138</v>
          </cell>
          <cell r="AB800">
            <v>0</v>
          </cell>
        </row>
        <row r="801">
          <cell r="N801">
            <v>0</v>
          </cell>
          <cell r="O801">
            <v>2361326.14</v>
          </cell>
          <cell r="X801">
            <v>2361326.14</v>
          </cell>
          <cell r="AA801">
            <v>2361326.14</v>
          </cell>
          <cell r="AB801">
            <v>0</v>
          </cell>
        </row>
        <row r="802">
          <cell r="N802">
            <v>0</v>
          </cell>
          <cell r="X802">
            <v>0</v>
          </cell>
          <cell r="AA802">
            <v>0</v>
          </cell>
          <cell r="AB802">
            <v>1355997.59</v>
          </cell>
        </row>
        <row r="806">
          <cell r="N806">
            <v>0</v>
          </cell>
          <cell r="X806">
            <v>0</v>
          </cell>
          <cell r="AA806">
            <v>0</v>
          </cell>
          <cell r="AB806">
            <v>0</v>
          </cell>
        </row>
        <row r="807">
          <cell r="E807">
            <v>2743490</v>
          </cell>
          <cell r="N807">
            <v>2743490</v>
          </cell>
          <cell r="X807">
            <v>0</v>
          </cell>
          <cell r="AA807">
            <v>2743490</v>
          </cell>
          <cell r="AB807">
            <v>0</v>
          </cell>
        </row>
        <row r="808">
          <cell r="N808">
            <v>0</v>
          </cell>
          <cell r="O808">
            <v>6493531.0100000007</v>
          </cell>
          <cell r="X808">
            <v>6493531.0100000007</v>
          </cell>
          <cell r="AA808">
            <v>6493531.0100000007</v>
          </cell>
          <cell r="AB808">
            <v>0</v>
          </cell>
        </row>
        <row r="809">
          <cell r="N809">
            <v>0</v>
          </cell>
          <cell r="X809">
            <v>0</v>
          </cell>
          <cell r="AA809">
            <v>0</v>
          </cell>
          <cell r="AB809">
            <v>177986.61</v>
          </cell>
        </row>
        <row r="810">
          <cell r="N810">
            <v>0</v>
          </cell>
          <cell r="O810">
            <v>15796629.800000001</v>
          </cell>
          <cell r="X810">
            <v>15796629.800000001</v>
          </cell>
          <cell r="AA810">
            <v>15796629.800000001</v>
          </cell>
          <cell r="AB810">
            <v>0</v>
          </cell>
        </row>
        <row r="816">
          <cell r="N816">
            <v>0</v>
          </cell>
          <cell r="X816">
            <v>0</v>
          </cell>
          <cell r="AA816">
            <v>0</v>
          </cell>
          <cell r="AB816">
            <v>0</v>
          </cell>
        </row>
        <row r="817">
          <cell r="E817">
            <v>1760413</v>
          </cell>
          <cell r="N817">
            <v>1760413</v>
          </cell>
          <cell r="X817">
            <v>0</v>
          </cell>
          <cell r="AA817">
            <v>1760413</v>
          </cell>
          <cell r="AB817">
            <v>0</v>
          </cell>
        </row>
        <row r="818">
          <cell r="N818">
            <v>0</v>
          </cell>
          <cell r="X818">
            <v>0</v>
          </cell>
          <cell r="AA818">
            <v>0</v>
          </cell>
          <cell r="AB818">
            <v>240154.84</v>
          </cell>
        </row>
        <row r="819">
          <cell r="N819">
            <v>0</v>
          </cell>
          <cell r="X819">
            <v>0</v>
          </cell>
          <cell r="AA819">
            <v>0</v>
          </cell>
          <cell r="AB819">
            <v>76850</v>
          </cell>
        </row>
        <row r="823">
          <cell r="N823">
            <v>0</v>
          </cell>
          <cell r="X823">
            <v>0</v>
          </cell>
          <cell r="AA823">
            <v>0</v>
          </cell>
          <cell r="AB823">
            <v>0</v>
          </cell>
        </row>
        <row r="824">
          <cell r="E824">
            <v>4070993</v>
          </cell>
          <cell r="N824">
            <v>4070993</v>
          </cell>
          <cell r="X824">
            <v>0</v>
          </cell>
          <cell r="AA824">
            <v>4070993</v>
          </cell>
          <cell r="AB824">
            <v>0</v>
          </cell>
        </row>
        <row r="825">
          <cell r="E825">
            <v>49000000</v>
          </cell>
          <cell r="F825">
            <v>7000000</v>
          </cell>
          <cell r="N825">
            <v>56000000</v>
          </cell>
          <cell r="X825">
            <v>0</v>
          </cell>
          <cell r="AA825">
            <v>56000000</v>
          </cell>
          <cell r="AB825">
            <v>0</v>
          </cell>
        </row>
        <row r="826">
          <cell r="E826">
            <v>1300000</v>
          </cell>
          <cell r="N826">
            <v>1300000</v>
          </cell>
          <cell r="X826">
            <v>0</v>
          </cell>
          <cell r="AA826">
            <v>1300000</v>
          </cell>
          <cell r="AB826">
            <v>0</v>
          </cell>
        </row>
        <row r="830">
          <cell r="N830">
            <v>0</v>
          </cell>
          <cell r="O830">
            <v>0</v>
          </cell>
          <cell r="X830">
            <v>0</v>
          </cell>
          <cell r="AA830">
            <v>0</v>
          </cell>
          <cell r="AB830">
            <v>14768052.300000001</v>
          </cell>
        </row>
        <row r="831">
          <cell r="E831">
            <v>3333153</v>
          </cell>
          <cell r="N831">
            <v>3333153</v>
          </cell>
          <cell r="X831">
            <v>0</v>
          </cell>
          <cell r="AA831">
            <v>3333153</v>
          </cell>
          <cell r="AB831">
            <v>0</v>
          </cell>
        </row>
        <row r="832">
          <cell r="E832">
            <v>7368000</v>
          </cell>
          <cell r="N832">
            <v>7368000</v>
          </cell>
          <cell r="X832">
            <v>0</v>
          </cell>
          <cell r="AA832">
            <v>7368000</v>
          </cell>
          <cell r="AB832">
            <v>0</v>
          </cell>
        </row>
        <row r="833">
          <cell r="N833">
            <v>0</v>
          </cell>
          <cell r="O833">
            <v>7100874.5</v>
          </cell>
          <cell r="X833">
            <v>7100874.5</v>
          </cell>
          <cell r="AA833">
            <v>7100874.5</v>
          </cell>
          <cell r="AB833">
            <v>18416831.989999998</v>
          </cell>
        </row>
        <row r="834">
          <cell r="N834">
            <v>0</v>
          </cell>
          <cell r="O834">
            <v>6039271.46</v>
          </cell>
          <cell r="X834">
            <v>6039271.46</v>
          </cell>
          <cell r="AA834">
            <v>6039271.46</v>
          </cell>
          <cell r="AB834">
            <v>0</v>
          </cell>
        </row>
        <row r="840">
          <cell r="N840">
            <v>0</v>
          </cell>
          <cell r="X840">
            <v>0</v>
          </cell>
          <cell r="AA840">
            <v>0</v>
          </cell>
          <cell r="AB840">
            <v>23411354.460000001</v>
          </cell>
        </row>
        <row r="841">
          <cell r="E841">
            <v>53104</v>
          </cell>
          <cell r="N841">
            <v>53104</v>
          </cell>
          <cell r="X841">
            <v>0</v>
          </cell>
          <cell r="AA841">
            <v>53104</v>
          </cell>
          <cell r="AB841">
            <v>0</v>
          </cell>
        </row>
        <row r="842">
          <cell r="N842">
            <v>0</v>
          </cell>
          <cell r="X842">
            <v>0</v>
          </cell>
          <cell r="AA842">
            <v>0</v>
          </cell>
          <cell r="AB842">
            <v>6124700</v>
          </cell>
        </row>
        <row r="852">
          <cell r="E852">
            <v>0</v>
          </cell>
          <cell r="N852">
            <v>0</v>
          </cell>
          <cell r="O852">
            <v>0</v>
          </cell>
          <cell r="X852">
            <v>0</v>
          </cell>
          <cell r="AA852">
            <v>0</v>
          </cell>
          <cell r="AB852">
            <v>51304065.710000001</v>
          </cell>
        </row>
        <row r="853">
          <cell r="E853">
            <v>2794439.69</v>
          </cell>
          <cell r="N853">
            <v>2794439.69</v>
          </cell>
          <cell r="O853">
            <v>0</v>
          </cell>
          <cell r="X853">
            <v>0</v>
          </cell>
          <cell r="AA853">
            <v>2794439.69</v>
          </cell>
          <cell r="AB853">
            <v>0</v>
          </cell>
        </row>
        <row r="854">
          <cell r="E854">
            <v>0</v>
          </cell>
          <cell r="N854">
            <v>0</v>
          </cell>
          <cell r="O854">
            <v>0</v>
          </cell>
          <cell r="X854">
            <v>0</v>
          </cell>
          <cell r="AA854">
            <v>0</v>
          </cell>
          <cell r="AB854">
            <v>0</v>
          </cell>
        </row>
        <row r="855">
          <cell r="E855">
            <v>120000000</v>
          </cell>
          <cell r="F855">
            <v>30000000</v>
          </cell>
          <cell r="N855">
            <v>150000000</v>
          </cell>
          <cell r="O855">
            <v>0</v>
          </cell>
          <cell r="X855">
            <v>0</v>
          </cell>
          <cell r="AA855">
            <v>150000000</v>
          </cell>
          <cell r="AB855">
            <v>0</v>
          </cell>
        </row>
        <row r="856">
          <cell r="E856">
            <v>2722681.5</v>
          </cell>
          <cell r="N856">
            <v>2722681.5</v>
          </cell>
          <cell r="O856">
            <v>0</v>
          </cell>
          <cell r="X856">
            <v>0</v>
          </cell>
          <cell r="AA856">
            <v>2722681.5</v>
          </cell>
          <cell r="AB856">
            <v>0</v>
          </cell>
        </row>
        <row r="857">
          <cell r="E857">
            <v>0</v>
          </cell>
          <cell r="N857">
            <v>0</v>
          </cell>
          <cell r="O857">
            <v>0</v>
          </cell>
          <cell r="X857">
            <v>0</v>
          </cell>
          <cell r="AA857">
            <v>0</v>
          </cell>
          <cell r="AB857">
            <v>27370539.489999998</v>
          </cell>
        </row>
        <row r="858">
          <cell r="E858">
            <v>0</v>
          </cell>
          <cell r="N858">
            <v>0</v>
          </cell>
          <cell r="O858">
            <v>0</v>
          </cell>
          <cell r="X858">
            <v>0</v>
          </cell>
          <cell r="AA858">
            <v>0</v>
          </cell>
          <cell r="AB858">
            <v>481192.75</v>
          </cell>
        </row>
        <row r="862">
          <cell r="D862">
            <v>4410720.78</v>
          </cell>
          <cell r="O862">
            <v>4410720.78</v>
          </cell>
          <cell r="R862">
            <v>4410720.78</v>
          </cell>
        </row>
        <row r="863">
          <cell r="E863">
            <v>0</v>
          </cell>
          <cell r="N863">
            <v>0</v>
          </cell>
          <cell r="O863">
            <v>0</v>
          </cell>
          <cell r="X863">
            <v>0</v>
          </cell>
          <cell r="AA863">
            <v>0</v>
          </cell>
          <cell r="AB863">
            <v>23713938.620000001</v>
          </cell>
        </row>
        <row r="864">
          <cell r="E864">
            <v>1371066.55</v>
          </cell>
          <cell r="N864">
            <v>1371066.55</v>
          </cell>
          <cell r="O864">
            <v>0</v>
          </cell>
          <cell r="X864">
            <v>0</v>
          </cell>
          <cell r="AA864">
            <v>1371066.55</v>
          </cell>
          <cell r="AB864">
            <v>0</v>
          </cell>
        </row>
        <row r="865">
          <cell r="E865">
            <v>0</v>
          </cell>
          <cell r="N865">
            <v>0</v>
          </cell>
          <cell r="O865">
            <v>0</v>
          </cell>
          <cell r="X865">
            <v>0</v>
          </cell>
          <cell r="AA865">
            <v>0</v>
          </cell>
          <cell r="AB865">
            <v>25836691.220000003</v>
          </cell>
        </row>
        <row r="866">
          <cell r="E866">
            <v>0</v>
          </cell>
          <cell r="N866">
            <v>0</v>
          </cell>
          <cell r="O866">
            <v>2341088.2599999998</v>
          </cell>
          <cell r="X866">
            <v>2341088.2599999998</v>
          </cell>
          <cell r="AA866">
            <v>2341088.2599999998</v>
          </cell>
          <cell r="AB866">
            <v>1117005.1600000001</v>
          </cell>
        </row>
        <row r="871">
          <cell r="E871">
            <v>0</v>
          </cell>
          <cell r="N871">
            <v>0</v>
          </cell>
          <cell r="O871">
            <v>0</v>
          </cell>
          <cell r="X871">
            <v>0</v>
          </cell>
          <cell r="AA871">
            <v>0</v>
          </cell>
          <cell r="AB871">
            <v>42417732.109999999</v>
          </cell>
        </row>
        <row r="872">
          <cell r="E872">
            <v>2071774.83</v>
          </cell>
          <cell r="N872">
            <v>2071774.83</v>
          </cell>
          <cell r="O872">
            <v>0</v>
          </cell>
          <cell r="X872">
            <v>0</v>
          </cell>
          <cell r="AA872">
            <v>2071774.83</v>
          </cell>
          <cell r="AB872">
            <v>0</v>
          </cell>
        </row>
        <row r="873">
          <cell r="E873">
            <v>0</v>
          </cell>
          <cell r="N873">
            <v>0</v>
          </cell>
          <cell r="O873">
            <v>0</v>
          </cell>
          <cell r="X873">
            <v>0</v>
          </cell>
          <cell r="AA873">
            <v>0</v>
          </cell>
          <cell r="AB873">
            <v>48918542.439999998</v>
          </cell>
        </row>
        <row r="874">
          <cell r="E874">
            <v>0</v>
          </cell>
          <cell r="N874">
            <v>0</v>
          </cell>
          <cell r="O874">
            <v>0</v>
          </cell>
          <cell r="X874">
            <v>0</v>
          </cell>
          <cell r="AA874">
            <v>0</v>
          </cell>
          <cell r="AB874">
            <v>3688000</v>
          </cell>
        </row>
        <row r="875">
          <cell r="E875">
            <v>0</v>
          </cell>
          <cell r="N875">
            <v>0</v>
          </cell>
          <cell r="O875">
            <v>0</v>
          </cell>
          <cell r="X875">
            <v>0</v>
          </cell>
          <cell r="AA875">
            <v>0</v>
          </cell>
          <cell r="AB875">
            <v>4532202.26</v>
          </cell>
        </row>
        <row r="879">
          <cell r="O879">
            <v>181752.55</v>
          </cell>
        </row>
        <row r="882">
          <cell r="E882">
            <v>8603000</v>
          </cell>
          <cell r="I882">
            <v>0</v>
          </cell>
          <cell r="J882">
            <v>0</v>
          </cell>
          <cell r="N882">
            <v>8603000</v>
          </cell>
          <cell r="O882">
            <v>0</v>
          </cell>
          <cell r="X882">
            <v>0</v>
          </cell>
          <cell r="AA882">
            <v>8603000</v>
          </cell>
          <cell r="AB882">
            <v>7717406.4800000004</v>
          </cell>
        </row>
        <row r="883">
          <cell r="E883">
            <v>129384</v>
          </cell>
          <cell r="N883">
            <v>129384</v>
          </cell>
          <cell r="O883">
            <v>0</v>
          </cell>
          <cell r="X883">
            <v>0</v>
          </cell>
          <cell r="AA883">
            <v>129384</v>
          </cell>
          <cell r="AB883">
            <v>0</v>
          </cell>
        </row>
        <row r="884">
          <cell r="E884">
            <v>0</v>
          </cell>
          <cell r="N884">
            <v>0</v>
          </cell>
          <cell r="O884">
            <v>0</v>
          </cell>
          <cell r="X884">
            <v>0</v>
          </cell>
          <cell r="AA884">
            <v>0</v>
          </cell>
          <cell r="AB884">
            <v>25627523.450000003</v>
          </cell>
        </row>
        <row r="885">
          <cell r="E885">
            <v>0</v>
          </cell>
          <cell r="N885">
            <v>0</v>
          </cell>
          <cell r="O885">
            <v>0</v>
          </cell>
          <cell r="X885">
            <v>0</v>
          </cell>
          <cell r="AA885">
            <v>0</v>
          </cell>
          <cell r="AB885">
            <v>5877030.0700000003</v>
          </cell>
        </row>
        <row r="889">
          <cell r="D889">
            <v>508176.64000000001</v>
          </cell>
          <cell r="O889">
            <v>508176.64000000001</v>
          </cell>
          <cell r="R889">
            <v>508176.64000000001</v>
          </cell>
        </row>
        <row r="890">
          <cell r="E890">
            <v>0</v>
          </cell>
          <cell r="N890">
            <v>0</v>
          </cell>
          <cell r="O890">
            <v>1274903.17</v>
          </cell>
          <cell r="X890">
            <v>1274903.17</v>
          </cell>
          <cell r="AA890">
            <v>1274903.17</v>
          </cell>
          <cell r="AB890">
            <v>0</v>
          </cell>
        </row>
        <row r="891">
          <cell r="E891">
            <v>1521229.83</v>
          </cell>
          <cell r="N891">
            <v>1521229.83</v>
          </cell>
          <cell r="O891">
            <v>0</v>
          </cell>
          <cell r="X891">
            <v>0</v>
          </cell>
          <cell r="AA891">
            <v>1521229.83</v>
          </cell>
          <cell r="AB891">
            <v>0</v>
          </cell>
        </row>
        <row r="892">
          <cell r="E892">
            <v>0</v>
          </cell>
          <cell r="N892">
            <v>0</v>
          </cell>
          <cell r="O892">
            <v>1472205.19</v>
          </cell>
          <cell r="X892">
            <v>1472205.19</v>
          </cell>
          <cell r="AA892">
            <v>1472205.19</v>
          </cell>
          <cell r="AB892">
            <v>1660717.8599999999</v>
          </cell>
        </row>
        <row r="893">
          <cell r="E893">
            <v>0</v>
          </cell>
          <cell r="N893">
            <v>0</v>
          </cell>
          <cell r="O893">
            <v>94015</v>
          </cell>
          <cell r="S893">
            <v>356118</v>
          </cell>
          <cell r="X893">
            <v>94015</v>
          </cell>
          <cell r="AA893">
            <v>94015</v>
          </cell>
          <cell r="AB893">
            <v>3368202.1</v>
          </cell>
        </row>
        <row r="894">
          <cell r="E894">
            <v>0</v>
          </cell>
          <cell r="N894">
            <v>0</v>
          </cell>
          <cell r="O894">
            <v>5603896.2599999998</v>
          </cell>
          <cell r="X894">
            <v>5603896.2599999998</v>
          </cell>
          <cell r="AA894">
            <v>5603896.2599999998</v>
          </cell>
          <cell r="AB894">
            <v>1271569.5200000005</v>
          </cell>
        </row>
        <row r="904">
          <cell r="N904">
            <v>0</v>
          </cell>
          <cell r="R904">
            <v>0</v>
          </cell>
          <cell r="X904">
            <v>0</v>
          </cell>
          <cell r="AA904">
            <v>0</v>
          </cell>
          <cell r="AB904">
            <v>0</v>
          </cell>
        </row>
        <row r="905">
          <cell r="E905">
            <v>58052</v>
          </cell>
          <cell r="N905">
            <v>58052</v>
          </cell>
          <cell r="R905">
            <v>0</v>
          </cell>
          <cell r="X905">
            <v>0</v>
          </cell>
          <cell r="AA905">
            <v>58052</v>
          </cell>
          <cell r="AB905">
            <v>0</v>
          </cell>
        </row>
        <row r="906">
          <cell r="N906">
            <v>0</v>
          </cell>
          <cell r="R906">
            <v>0</v>
          </cell>
          <cell r="X906">
            <v>0</v>
          </cell>
          <cell r="AA906">
            <v>0</v>
          </cell>
          <cell r="AB906">
            <v>35111352.609999999</v>
          </cell>
        </row>
        <row r="907">
          <cell r="N907">
            <v>0</v>
          </cell>
          <cell r="R907">
            <v>0</v>
          </cell>
          <cell r="X907">
            <v>0</v>
          </cell>
          <cell r="AA907">
            <v>0</v>
          </cell>
          <cell r="AB907">
            <v>48968.08</v>
          </cell>
        </row>
        <row r="911">
          <cell r="N911">
            <v>0</v>
          </cell>
          <cell r="O911">
            <v>46483.85</v>
          </cell>
          <cell r="X911">
            <v>46483.85</v>
          </cell>
          <cell r="AA911">
            <v>46483.85</v>
          </cell>
          <cell r="AB911">
            <v>26041065.079999998</v>
          </cell>
        </row>
        <row r="912">
          <cell r="N912">
            <v>0</v>
          </cell>
          <cell r="O912">
            <v>4819319.0999999996</v>
          </cell>
          <cell r="R912">
            <v>4819319.0999999996</v>
          </cell>
          <cell r="X912">
            <v>4819319.0999999996</v>
          </cell>
          <cell r="AA912">
            <v>4819319.0999999996</v>
          </cell>
          <cell r="AB912">
            <v>19056906.149999999</v>
          </cell>
        </row>
        <row r="913">
          <cell r="N913">
            <v>0</v>
          </cell>
          <cell r="O913">
            <v>10700263.029999999</v>
          </cell>
          <cell r="R913">
            <v>10700263.029999999</v>
          </cell>
          <cell r="X913">
            <v>10700263.029999999</v>
          </cell>
          <cell r="AA913">
            <v>10700263.029999999</v>
          </cell>
          <cell r="AB913">
            <v>0</v>
          </cell>
        </row>
        <row r="918">
          <cell r="N918">
            <v>0</v>
          </cell>
          <cell r="X918">
            <v>0</v>
          </cell>
          <cell r="AA918">
            <v>0</v>
          </cell>
          <cell r="AB918">
            <v>0</v>
          </cell>
        </row>
        <row r="919">
          <cell r="E919">
            <v>1810031</v>
          </cell>
          <cell r="N919">
            <v>1810031</v>
          </cell>
          <cell r="R919">
            <v>0</v>
          </cell>
          <cell r="X919">
            <v>0</v>
          </cell>
          <cell r="AA919">
            <v>1810031</v>
          </cell>
          <cell r="AB919">
            <v>0</v>
          </cell>
        </row>
        <row r="920">
          <cell r="N920">
            <v>0</v>
          </cell>
          <cell r="R920">
            <v>0</v>
          </cell>
          <cell r="X920">
            <v>0</v>
          </cell>
          <cell r="AA920">
            <v>0</v>
          </cell>
          <cell r="AB920">
            <v>507482.34</v>
          </cell>
        </row>
        <row r="921">
          <cell r="N921">
            <v>0</v>
          </cell>
          <cell r="O921">
            <v>290628.5</v>
          </cell>
          <cell r="R921">
            <v>290628.5</v>
          </cell>
          <cell r="X921">
            <v>290628.5</v>
          </cell>
          <cell r="AA921">
            <v>290628.5</v>
          </cell>
          <cell r="AB921">
            <v>992975.66000000015</v>
          </cell>
        </row>
        <row r="922">
          <cell r="N922">
            <v>0</v>
          </cell>
          <cell r="O922">
            <v>1514405.36</v>
          </cell>
          <cell r="X922">
            <v>1514405.36</v>
          </cell>
          <cell r="AA922">
            <v>1514405.36</v>
          </cell>
          <cell r="AB922">
            <v>0</v>
          </cell>
        </row>
        <row r="923">
          <cell r="N923">
            <v>0</v>
          </cell>
          <cell r="O923">
            <v>555916.41</v>
          </cell>
          <cell r="X923">
            <v>555916.41</v>
          </cell>
          <cell r="AA923">
            <v>555916.41</v>
          </cell>
          <cell r="AB923">
            <v>0</v>
          </cell>
        </row>
        <row r="929">
          <cell r="H929">
            <v>0</v>
          </cell>
          <cell r="N929">
            <v>0</v>
          </cell>
          <cell r="X929">
            <v>0</v>
          </cell>
          <cell r="AA929">
            <v>0</v>
          </cell>
          <cell r="AB929">
            <v>37561999.299999997</v>
          </cell>
        </row>
        <row r="930">
          <cell r="E930">
            <v>21255</v>
          </cell>
          <cell r="H930">
            <v>21255</v>
          </cell>
          <cell r="N930">
            <v>21255</v>
          </cell>
          <cell r="X930">
            <v>0</v>
          </cell>
          <cell r="AA930">
            <v>21255</v>
          </cell>
          <cell r="AB930">
            <v>0</v>
          </cell>
        </row>
        <row r="931">
          <cell r="H931">
            <v>0</v>
          </cell>
          <cell r="N931">
            <v>0</v>
          </cell>
          <cell r="O931">
            <v>5495751.5499999998</v>
          </cell>
          <cell r="X931">
            <v>5495751.5499999998</v>
          </cell>
          <cell r="AA931">
            <v>5495751.5499999998</v>
          </cell>
          <cell r="AB931">
            <v>28408962.699999999</v>
          </cell>
        </row>
        <row r="932">
          <cell r="H932">
            <v>0</v>
          </cell>
          <cell r="N932">
            <v>0</v>
          </cell>
          <cell r="O932">
            <v>15796629.800000001</v>
          </cell>
          <cell r="X932">
            <v>15796629.800000001</v>
          </cell>
          <cell r="AA932">
            <v>15796629.800000001</v>
          </cell>
          <cell r="AB932">
            <v>0</v>
          </cell>
        </row>
        <row r="936">
          <cell r="N936">
            <v>0</v>
          </cell>
          <cell r="O936">
            <v>1138251.32</v>
          </cell>
          <cell r="X936">
            <v>1138251.32</v>
          </cell>
          <cell r="AA936">
            <v>1138251.32</v>
          </cell>
          <cell r="AB936">
            <v>27.599999999860302</v>
          </cell>
        </row>
        <row r="937">
          <cell r="N937">
            <v>0</v>
          </cell>
          <cell r="O937">
            <v>9624287.2599999998</v>
          </cell>
          <cell r="P937">
            <v>872518.86</v>
          </cell>
          <cell r="X937">
            <v>10496806.119999999</v>
          </cell>
          <cell r="AA937">
            <v>10496806.119999999</v>
          </cell>
          <cell r="AB937">
            <v>-1168534.5499999989</v>
          </cell>
        </row>
        <row r="938">
          <cell r="N938">
            <v>0</v>
          </cell>
          <cell r="R938">
            <v>0</v>
          </cell>
          <cell r="X938">
            <v>0</v>
          </cell>
          <cell r="AA938">
            <v>0</v>
          </cell>
          <cell r="AB938">
            <v>13901000</v>
          </cell>
        </row>
        <row r="939">
          <cell r="N939">
            <v>0</v>
          </cell>
          <cell r="O939">
            <v>1861621.37</v>
          </cell>
          <cell r="X939">
            <v>1861621.37</v>
          </cell>
          <cell r="AA939">
            <v>1861621.37</v>
          </cell>
          <cell r="AB939">
            <v>-1018444.5700000001</v>
          </cell>
        </row>
        <row r="940">
          <cell r="E940">
            <v>8339997.9199999999</v>
          </cell>
          <cell r="N940">
            <v>8339997.9199999999</v>
          </cell>
          <cell r="R940">
            <v>0</v>
          </cell>
          <cell r="X940">
            <v>0</v>
          </cell>
          <cell r="AA940">
            <v>8339997.9199999999</v>
          </cell>
          <cell r="AB940">
            <v>1660002.08</v>
          </cell>
        </row>
        <row r="941">
          <cell r="N941">
            <v>0</v>
          </cell>
          <cell r="O941">
            <v>2165213.2400000002</v>
          </cell>
          <cell r="X941">
            <v>2165213.2400000002</v>
          </cell>
          <cell r="AA941">
            <v>2165213.2400000002</v>
          </cell>
          <cell r="AB941">
            <v>0</v>
          </cell>
        </row>
        <row r="947">
          <cell r="E947">
            <v>6629855.6200000001</v>
          </cell>
          <cell r="N947">
            <v>6629855.6200000001</v>
          </cell>
          <cell r="X947">
            <v>0</v>
          </cell>
          <cell r="AA947">
            <v>6629855.6200000001</v>
          </cell>
          <cell r="AB947">
            <v>21523920.919999998</v>
          </cell>
        </row>
        <row r="948">
          <cell r="E948">
            <v>1523974</v>
          </cell>
          <cell r="N948">
            <v>1523974</v>
          </cell>
          <cell r="X948">
            <v>0</v>
          </cell>
          <cell r="AA948">
            <v>1523974</v>
          </cell>
          <cell r="AB948">
            <v>0</v>
          </cell>
        </row>
        <row r="949">
          <cell r="N949">
            <v>0</v>
          </cell>
          <cell r="X949">
            <v>0</v>
          </cell>
          <cell r="AA949">
            <v>0</v>
          </cell>
          <cell r="AB949">
            <v>13463938.210000001</v>
          </cell>
        </row>
        <row r="950">
          <cell r="N950">
            <v>0</v>
          </cell>
          <cell r="X950">
            <v>0</v>
          </cell>
          <cell r="AA950">
            <v>0</v>
          </cell>
          <cell r="AB950">
            <v>16202500</v>
          </cell>
        </row>
        <row r="951">
          <cell r="N951">
            <v>0</v>
          </cell>
          <cell r="X951">
            <v>0</v>
          </cell>
          <cell r="AA951">
            <v>0</v>
          </cell>
          <cell r="AB951">
            <v>1775602.58</v>
          </cell>
        </row>
        <row r="955">
          <cell r="D955">
            <v>254832.25</v>
          </cell>
          <cell r="O955">
            <v>254832.25</v>
          </cell>
          <cell r="R955">
            <v>254832.25</v>
          </cell>
          <cell r="Y955">
            <v>254832.25</v>
          </cell>
        </row>
        <row r="957">
          <cell r="N957">
            <v>0</v>
          </cell>
          <cell r="O957">
            <v>197445.2</v>
          </cell>
          <cell r="X957">
            <v>197445.2</v>
          </cell>
          <cell r="AA957">
            <v>197445.2</v>
          </cell>
          <cell r="AB957">
            <v>2454430.8899999997</v>
          </cell>
        </row>
        <row r="958">
          <cell r="E958">
            <v>147111</v>
          </cell>
          <cell r="N958">
            <v>147111</v>
          </cell>
          <cell r="X958">
            <v>0</v>
          </cell>
          <cell r="AA958">
            <v>147111</v>
          </cell>
          <cell r="AB958">
            <v>0</v>
          </cell>
        </row>
        <row r="959">
          <cell r="E959">
            <v>2359759.62</v>
          </cell>
          <cell r="N959">
            <v>2359759.62</v>
          </cell>
          <cell r="X959">
            <v>0</v>
          </cell>
          <cell r="AA959">
            <v>2359759.62</v>
          </cell>
          <cell r="AB959">
            <v>240.37999999988824</v>
          </cell>
        </row>
        <row r="963">
          <cell r="N963">
            <v>0</v>
          </cell>
          <cell r="O963">
            <v>407186.37</v>
          </cell>
          <cell r="X963">
            <v>407186.37</v>
          </cell>
          <cell r="AA963">
            <v>407186.37</v>
          </cell>
          <cell r="AB963">
            <v>56645197.340000004</v>
          </cell>
        </row>
        <row r="964">
          <cell r="E964">
            <v>10000000</v>
          </cell>
          <cell r="N964">
            <v>10000000</v>
          </cell>
          <cell r="X964">
            <v>0</v>
          </cell>
          <cell r="AA964">
            <v>10000000</v>
          </cell>
          <cell r="AB964">
            <v>0</v>
          </cell>
        </row>
        <row r="965">
          <cell r="E965">
            <v>1793593</v>
          </cell>
          <cell r="N965">
            <v>1793593</v>
          </cell>
          <cell r="X965">
            <v>0</v>
          </cell>
          <cell r="AA965">
            <v>1793593</v>
          </cell>
          <cell r="AB965">
            <v>0</v>
          </cell>
        </row>
        <row r="974">
          <cell r="N974">
            <v>0</v>
          </cell>
          <cell r="X974">
            <v>0</v>
          </cell>
          <cell r="AA974">
            <v>0</v>
          </cell>
          <cell r="AB974">
            <v>36888563.280000001</v>
          </cell>
        </row>
        <row r="975">
          <cell r="N975">
            <v>0</v>
          </cell>
          <cell r="X975">
            <v>0</v>
          </cell>
          <cell r="AA975">
            <v>0</v>
          </cell>
          <cell r="AB975">
            <v>35419325.289999999</v>
          </cell>
        </row>
        <row r="976">
          <cell r="N976">
            <v>0</v>
          </cell>
          <cell r="X976">
            <v>0</v>
          </cell>
          <cell r="AA976">
            <v>0</v>
          </cell>
          <cell r="AB976">
            <v>0</v>
          </cell>
        </row>
        <row r="980">
          <cell r="N980">
            <v>0</v>
          </cell>
          <cell r="X980">
            <v>0</v>
          </cell>
          <cell r="AA980">
            <v>0</v>
          </cell>
          <cell r="AB980">
            <v>33103740.239999995</v>
          </cell>
        </row>
        <row r="981">
          <cell r="E981">
            <v>257193</v>
          </cell>
          <cell r="N981">
            <v>257193</v>
          </cell>
          <cell r="X981">
            <v>0</v>
          </cell>
          <cell r="AA981">
            <v>257193</v>
          </cell>
          <cell r="AB981">
            <v>0</v>
          </cell>
        </row>
        <row r="982">
          <cell r="E982">
            <v>5521162.9199999999</v>
          </cell>
          <cell r="N982">
            <v>5521162.9199999999</v>
          </cell>
          <cell r="X982">
            <v>0</v>
          </cell>
          <cell r="AA982">
            <v>5521162.9199999999</v>
          </cell>
          <cell r="AB982">
            <v>0</v>
          </cell>
        </row>
        <row r="983">
          <cell r="N983">
            <v>0</v>
          </cell>
          <cell r="X983">
            <v>0</v>
          </cell>
          <cell r="AA983">
            <v>0</v>
          </cell>
          <cell r="AB983">
            <v>18626426.620000001</v>
          </cell>
        </row>
        <row r="984">
          <cell r="N984">
            <v>0</v>
          </cell>
          <cell r="X984">
            <v>0</v>
          </cell>
          <cell r="AA984">
            <v>0</v>
          </cell>
          <cell r="AB984">
            <v>7242000</v>
          </cell>
        </row>
        <row r="985">
          <cell r="N985">
            <v>0</v>
          </cell>
          <cell r="X985">
            <v>0</v>
          </cell>
          <cell r="AA985">
            <v>0</v>
          </cell>
          <cell r="AB985">
            <v>709704.47</v>
          </cell>
        </row>
        <row r="989">
          <cell r="N989">
            <v>0</v>
          </cell>
          <cell r="X989">
            <v>0</v>
          </cell>
          <cell r="AA989">
            <v>0</v>
          </cell>
          <cell r="AB989">
            <v>0</v>
          </cell>
        </row>
        <row r="990">
          <cell r="E990">
            <v>2580531</v>
          </cell>
          <cell r="N990">
            <v>2580531</v>
          </cell>
          <cell r="X990">
            <v>0</v>
          </cell>
          <cell r="AA990">
            <v>2580531</v>
          </cell>
          <cell r="AB990">
            <v>0</v>
          </cell>
        </row>
        <row r="991">
          <cell r="E991">
            <v>8725120.4399999995</v>
          </cell>
          <cell r="N991">
            <v>8725120.4399999995</v>
          </cell>
          <cell r="X991">
            <v>0</v>
          </cell>
          <cell r="AA991">
            <v>8725120.4399999995</v>
          </cell>
          <cell r="AB991">
            <v>0</v>
          </cell>
        </row>
        <row r="992">
          <cell r="E992">
            <v>66096245.569999993</v>
          </cell>
          <cell r="F992">
            <v>5275866.6399999997</v>
          </cell>
          <cell r="N992">
            <v>71372112.209999993</v>
          </cell>
          <cell r="X992">
            <v>0</v>
          </cell>
          <cell r="AA992">
            <v>71372112.209999993</v>
          </cell>
          <cell r="AB992">
            <v>0</v>
          </cell>
        </row>
        <row r="993">
          <cell r="N993">
            <v>0</v>
          </cell>
          <cell r="O993">
            <v>1087829.8500000001</v>
          </cell>
          <cell r="X993">
            <v>1087829.8500000001</v>
          </cell>
          <cell r="AA993">
            <v>1087829.8500000001</v>
          </cell>
          <cell r="AB993">
            <v>0</v>
          </cell>
        </row>
        <row r="994">
          <cell r="N994">
            <v>0</v>
          </cell>
          <cell r="O994">
            <v>698224.45</v>
          </cell>
          <cell r="X994">
            <v>698224.45</v>
          </cell>
          <cell r="AA994">
            <v>698224.45</v>
          </cell>
          <cell r="AB994">
            <v>5067697.71</v>
          </cell>
        </row>
        <row r="998">
          <cell r="N998">
            <v>0</v>
          </cell>
          <cell r="O998">
            <v>17292.200000000004</v>
          </cell>
          <cell r="V998">
            <v>0</v>
          </cell>
          <cell r="X998">
            <v>17292.200000000004</v>
          </cell>
          <cell r="AA998">
            <v>17292.200000000004</v>
          </cell>
          <cell r="AB998">
            <v>452924.65999999986</v>
          </cell>
        </row>
        <row r="999">
          <cell r="E999">
            <v>3077163.6</v>
          </cell>
          <cell r="N999">
            <v>3077163.6</v>
          </cell>
          <cell r="O999">
            <v>0</v>
          </cell>
          <cell r="X999">
            <v>0</v>
          </cell>
          <cell r="AA999">
            <v>3077163.6</v>
          </cell>
          <cell r="AB999">
            <v>0</v>
          </cell>
        </row>
        <row r="1000">
          <cell r="E1000">
            <v>125000</v>
          </cell>
          <cell r="N1000">
            <v>125000</v>
          </cell>
          <cell r="X1000">
            <v>0</v>
          </cell>
          <cell r="AA1000">
            <v>125000</v>
          </cell>
          <cell r="AB1000">
            <v>0</v>
          </cell>
        </row>
        <row r="1006">
          <cell r="E1006">
            <v>4500000</v>
          </cell>
          <cell r="N1006">
            <v>4500000</v>
          </cell>
          <cell r="O1006">
            <v>536377.23</v>
          </cell>
          <cell r="X1006">
            <v>536377.23</v>
          </cell>
          <cell r="AA1006">
            <v>5036377.2300000004</v>
          </cell>
          <cell r="AB1006">
            <v>31216687.249999996</v>
          </cell>
        </row>
        <row r="1009">
          <cell r="E1009">
            <v>4000000</v>
          </cell>
          <cell r="N1009">
            <v>4000000</v>
          </cell>
          <cell r="X1009">
            <v>0</v>
          </cell>
          <cell r="AA1009">
            <v>4000000</v>
          </cell>
          <cell r="AB1009">
            <v>15170486.940000001</v>
          </cell>
        </row>
        <row r="1010">
          <cell r="E1010">
            <v>2217196.52</v>
          </cell>
          <cell r="N1010">
            <v>2217196.52</v>
          </cell>
          <cell r="X1010">
            <v>0</v>
          </cell>
          <cell r="AA1010">
            <v>2217196.52</v>
          </cell>
          <cell r="AB1010">
            <v>0</v>
          </cell>
        </row>
        <row r="1011">
          <cell r="F1011">
            <v>2718776.72</v>
          </cell>
          <cell r="N1011">
            <v>2718776.72</v>
          </cell>
          <cell r="X1011">
            <v>0</v>
          </cell>
          <cell r="AA1011">
            <v>2718776.72</v>
          </cell>
          <cell r="AB1011">
            <v>0</v>
          </cell>
        </row>
        <row r="1012">
          <cell r="N1012">
            <v>0</v>
          </cell>
          <cell r="O1012">
            <v>3593720.2800000003</v>
          </cell>
          <cell r="X1012">
            <v>3593720.2800000003</v>
          </cell>
          <cell r="AA1012">
            <v>3593720.2800000003</v>
          </cell>
          <cell r="AB1012">
            <v>0</v>
          </cell>
        </row>
        <row r="1013">
          <cell r="D1013">
            <v>10192733.540000001</v>
          </cell>
          <cell r="N1013">
            <v>0</v>
          </cell>
          <cell r="O1013">
            <v>10192733.539999999</v>
          </cell>
          <cell r="X1013">
            <v>10192733.539999999</v>
          </cell>
          <cell r="AA1013">
            <v>10192733.539999999</v>
          </cell>
          <cell r="AB1013">
            <v>0</v>
          </cell>
        </row>
        <row r="1017">
          <cell r="N1017">
            <v>0</v>
          </cell>
          <cell r="O1017">
            <v>423220.98</v>
          </cell>
          <cell r="X1017">
            <v>423220.98</v>
          </cell>
          <cell r="AA1017">
            <v>423220.98</v>
          </cell>
          <cell r="AB1017">
            <v>52570287.200000003</v>
          </cell>
        </row>
        <row r="1018">
          <cell r="E1018">
            <v>5000000</v>
          </cell>
          <cell r="N1018">
            <v>5000000</v>
          </cell>
          <cell r="O1018">
            <v>0</v>
          </cell>
          <cell r="X1018">
            <v>0</v>
          </cell>
          <cell r="AA1018">
            <v>5000000</v>
          </cell>
          <cell r="AB1018">
            <v>0</v>
          </cell>
        </row>
        <row r="1019">
          <cell r="N1019">
            <v>0</v>
          </cell>
          <cell r="O1019">
            <v>8204233.1499999994</v>
          </cell>
          <cell r="X1019">
            <v>8204233.1499999994</v>
          </cell>
          <cell r="AA1019">
            <v>8204233.1499999994</v>
          </cell>
          <cell r="AB1019">
            <v>17206702.93</v>
          </cell>
        </row>
        <row r="1020">
          <cell r="D1020">
            <v>16231231.630000001</v>
          </cell>
          <cell r="N1020">
            <v>0</v>
          </cell>
          <cell r="O1020">
            <v>11134864.860000001</v>
          </cell>
          <cell r="X1020">
            <v>11134864.860000001</v>
          </cell>
          <cell r="AA1020">
            <v>11134864.860000001</v>
          </cell>
          <cell r="AB1020">
            <v>5096366.7699999996</v>
          </cell>
        </row>
        <row r="1031">
          <cell r="E1031">
            <v>0</v>
          </cell>
          <cell r="N1031">
            <v>0</v>
          </cell>
          <cell r="O1031">
            <v>0</v>
          </cell>
          <cell r="X1031">
            <v>0</v>
          </cell>
          <cell r="AA1031">
            <v>0</v>
          </cell>
          <cell r="AB1031">
            <v>50397361.530000001</v>
          </cell>
        </row>
        <row r="1032">
          <cell r="E1032">
            <v>2322818.25</v>
          </cell>
          <cell r="N1032">
            <v>2322818.25</v>
          </cell>
          <cell r="O1032">
            <v>0</v>
          </cell>
          <cell r="X1032">
            <v>0</v>
          </cell>
          <cell r="AA1032">
            <v>2322818.25</v>
          </cell>
          <cell r="AB1032">
            <v>0</v>
          </cell>
        </row>
        <row r="1033">
          <cell r="E1033">
            <v>0</v>
          </cell>
          <cell r="N1033">
            <v>0</v>
          </cell>
          <cell r="O1033">
            <v>2000000</v>
          </cell>
          <cell r="X1033">
            <v>2000000</v>
          </cell>
          <cell r="AA1033">
            <v>2000000</v>
          </cell>
          <cell r="AB1033">
            <v>0</v>
          </cell>
        </row>
        <row r="1034">
          <cell r="E1034">
            <v>0</v>
          </cell>
          <cell r="N1034">
            <v>0</v>
          </cell>
          <cell r="O1034">
            <v>0</v>
          </cell>
          <cell r="X1034">
            <v>0</v>
          </cell>
          <cell r="AA1034">
            <v>0</v>
          </cell>
          <cell r="AB1034">
            <v>3152350</v>
          </cell>
        </row>
        <row r="1039">
          <cell r="E1039">
            <v>0</v>
          </cell>
          <cell r="N1039">
            <v>0</v>
          </cell>
          <cell r="O1039">
            <v>0</v>
          </cell>
          <cell r="X1039">
            <v>0</v>
          </cell>
          <cell r="AA1039">
            <v>0</v>
          </cell>
          <cell r="AB1039">
            <v>20838782.84</v>
          </cell>
        </row>
        <row r="1040">
          <cell r="E1040">
            <v>1300242.3799999999</v>
          </cell>
          <cell r="N1040">
            <v>1300242.3799999999</v>
          </cell>
          <cell r="O1040">
            <v>0</v>
          </cell>
          <cell r="X1040">
            <v>0</v>
          </cell>
          <cell r="AA1040">
            <v>1300242.3799999999</v>
          </cell>
          <cell r="AB1040">
            <v>0</v>
          </cell>
        </row>
        <row r="1041">
          <cell r="E1041">
            <v>0</v>
          </cell>
          <cell r="N1041">
            <v>0</v>
          </cell>
          <cell r="O1041">
            <v>493855.1</v>
          </cell>
          <cell r="X1041">
            <v>493855.1</v>
          </cell>
          <cell r="AA1041">
            <v>493855.1</v>
          </cell>
          <cell r="AB1041">
            <v>6472652.4800000004</v>
          </cell>
        </row>
        <row r="1042">
          <cell r="E1042">
            <v>0</v>
          </cell>
          <cell r="N1042">
            <v>0</v>
          </cell>
          <cell r="O1042">
            <v>0</v>
          </cell>
          <cell r="X1042">
            <v>0</v>
          </cell>
          <cell r="AA1042">
            <v>0</v>
          </cell>
          <cell r="AB1042">
            <v>5017163.05</v>
          </cell>
        </row>
        <row r="1043">
          <cell r="E1043">
            <v>0</v>
          </cell>
          <cell r="N1043">
            <v>0</v>
          </cell>
          <cell r="O1043">
            <v>5096366.7699999996</v>
          </cell>
          <cell r="X1043">
            <v>5096366.7699999996</v>
          </cell>
          <cell r="AA1043">
            <v>5096366.7699999996</v>
          </cell>
          <cell r="AB1043">
            <v>0</v>
          </cell>
        </row>
        <row r="1048">
          <cell r="E1048">
            <v>0</v>
          </cell>
          <cell r="N1048">
            <v>0</v>
          </cell>
          <cell r="O1048">
            <v>0</v>
          </cell>
          <cell r="S1048">
            <v>108127.75</v>
          </cell>
          <cell r="X1048">
            <v>0</v>
          </cell>
          <cell r="AA1048">
            <v>0</v>
          </cell>
          <cell r="AB1048">
            <v>1393121.15</v>
          </cell>
        </row>
        <row r="1049">
          <cell r="E1049">
            <v>38839.85</v>
          </cell>
          <cell r="N1049">
            <v>38839.85</v>
          </cell>
          <cell r="O1049">
            <v>0</v>
          </cell>
          <cell r="X1049">
            <v>0</v>
          </cell>
          <cell r="AA1049">
            <v>38839.85</v>
          </cell>
          <cell r="AB1049">
            <v>0</v>
          </cell>
        </row>
        <row r="1054">
          <cell r="E1054">
            <v>0</v>
          </cell>
          <cell r="L1054">
            <v>0</v>
          </cell>
          <cell r="N1054">
            <v>0</v>
          </cell>
          <cell r="O1054">
            <v>0</v>
          </cell>
          <cell r="X1054">
            <v>0</v>
          </cell>
          <cell r="AA1054">
            <v>0</v>
          </cell>
          <cell r="AB1054">
            <v>529367.1</v>
          </cell>
        </row>
        <row r="1055">
          <cell r="E1055">
            <v>5590007.3099999996</v>
          </cell>
          <cell r="L1055">
            <v>0</v>
          </cell>
          <cell r="N1055">
            <v>5590007.3099999996</v>
          </cell>
          <cell r="O1055">
            <v>0</v>
          </cell>
          <cell r="X1055">
            <v>0</v>
          </cell>
          <cell r="AA1055">
            <v>5590007.3099999996</v>
          </cell>
          <cell r="AB1055">
            <v>0</v>
          </cell>
        </row>
        <row r="1060">
          <cell r="D1060">
            <v>0</v>
          </cell>
          <cell r="E1060">
            <v>0</v>
          </cell>
          <cell r="N1060">
            <v>0</v>
          </cell>
          <cell r="O1060">
            <v>2564315.88</v>
          </cell>
          <cell r="X1060">
            <v>2564315.88</v>
          </cell>
          <cell r="AA1060">
            <v>2564315.88</v>
          </cell>
          <cell r="AB1060">
            <v>-2564315.88</v>
          </cell>
        </row>
        <row r="1061">
          <cell r="E1061">
            <v>2297834.08</v>
          </cell>
          <cell r="N1061">
            <v>2297834.08</v>
          </cell>
          <cell r="O1061">
            <v>0</v>
          </cell>
          <cell r="X1061">
            <v>0</v>
          </cell>
          <cell r="AA1061">
            <v>2297834.08</v>
          </cell>
          <cell r="AB1061">
            <v>0</v>
          </cell>
        </row>
        <row r="1062">
          <cell r="E1062">
            <v>17250000</v>
          </cell>
          <cell r="N1062">
            <v>17250000</v>
          </cell>
          <cell r="O1062">
            <v>0</v>
          </cell>
          <cell r="X1062">
            <v>0</v>
          </cell>
          <cell r="AA1062">
            <v>17250000</v>
          </cell>
          <cell r="AB1062">
            <v>0</v>
          </cell>
        </row>
        <row r="1068">
          <cell r="E1068">
            <v>2236989.6</v>
          </cell>
          <cell r="N1068">
            <v>2236989.6</v>
          </cell>
          <cell r="O1068">
            <v>0</v>
          </cell>
          <cell r="X1068">
            <v>0</v>
          </cell>
          <cell r="AA1068">
            <v>2236989.6</v>
          </cell>
          <cell r="AB1068">
            <v>0</v>
          </cell>
        </row>
        <row r="1069">
          <cell r="E1069">
            <v>0</v>
          </cell>
          <cell r="N1069">
            <v>0</v>
          </cell>
          <cell r="O1069">
            <v>0</v>
          </cell>
          <cell r="X1069">
            <v>0</v>
          </cell>
          <cell r="AA1069">
            <v>0</v>
          </cell>
          <cell r="AB1069">
            <v>616947.12</v>
          </cell>
        </row>
        <row r="1070">
          <cell r="E1070">
            <v>0</v>
          </cell>
          <cell r="N1070">
            <v>0</v>
          </cell>
          <cell r="O1070">
            <v>0</v>
          </cell>
          <cell r="X1070">
            <v>0</v>
          </cell>
          <cell r="AA1070">
            <v>0</v>
          </cell>
          <cell r="AB1070">
            <v>89037.98</v>
          </cell>
        </row>
        <row r="1082">
          <cell r="E1082">
            <v>12292580.289999999</v>
          </cell>
          <cell r="N1082">
            <v>12292580.289999999</v>
          </cell>
          <cell r="O1082">
            <v>15027393.610000001</v>
          </cell>
          <cell r="S1082">
            <v>984547.27999999956</v>
          </cell>
          <cell r="U1082">
            <v>2045166.3699999999</v>
          </cell>
          <cell r="X1082">
            <v>15027393.610000001</v>
          </cell>
          <cell r="AA1082">
            <v>27319973.899999999</v>
          </cell>
          <cell r="AB1082">
            <v>1853320.0000000056</v>
          </cell>
        </row>
        <row r="1083">
          <cell r="E1083">
            <v>7128475.4699999997</v>
          </cell>
          <cell r="N1083">
            <v>7128475.4699999997</v>
          </cell>
          <cell r="O1083">
            <v>0</v>
          </cell>
          <cell r="X1083">
            <v>0</v>
          </cell>
          <cell r="AA1083">
            <v>7128475.4699999997</v>
          </cell>
          <cell r="AB1083">
            <v>0</v>
          </cell>
        </row>
        <row r="1084">
          <cell r="E1084">
            <v>255000000</v>
          </cell>
          <cell r="F1084">
            <v>29000000</v>
          </cell>
          <cell r="N1084">
            <v>284000000</v>
          </cell>
          <cell r="O1084">
            <v>0</v>
          </cell>
          <cell r="X1084">
            <v>0</v>
          </cell>
          <cell r="AA1084">
            <v>284000000</v>
          </cell>
          <cell r="AB1084">
            <v>0</v>
          </cell>
        </row>
        <row r="1085">
          <cell r="E1085">
            <v>5677928.1699999999</v>
          </cell>
          <cell r="N1085">
            <v>5677928.1699999999</v>
          </cell>
          <cell r="O1085">
            <v>0</v>
          </cell>
          <cell r="X1085">
            <v>0</v>
          </cell>
          <cell r="AA1085">
            <v>5677928.1699999999</v>
          </cell>
          <cell r="AB1085">
            <v>0</v>
          </cell>
        </row>
        <row r="1086">
          <cell r="E1086">
            <v>0</v>
          </cell>
          <cell r="N1086">
            <v>0</v>
          </cell>
          <cell r="O1086">
            <v>8844608.7100000009</v>
          </cell>
          <cell r="S1086">
            <v>644978.75</v>
          </cell>
          <cell r="U1086">
            <v>80480.45</v>
          </cell>
          <cell r="X1086">
            <v>8844608.7100000009</v>
          </cell>
          <cell r="AA1086">
            <v>8844608.7100000009</v>
          </cell>
          <cell r="AB1086">
            <v>0</v>
          </cell>
        </row>
        <row r="1087">
          <cell r="E1087">
            <v>0</v>
          </cell>
          <cell r="N1087">
            <v>0</v>
          </cell>
          <cell r="O1087">
            <v>494782.01</v>
          </cell>
          <cell r="X1087">
            <v>494782.01</v>
          </cell>
          <cell r="AA1087">
            <v>494782.01</v>
          </cell>
          <cell r="AB1087">
            <v>1665184.8800000001</v>
          </cell>
        </row>
        <row r="1088">
          <cell r="E1088">
            <v>5324323.1900000004</v>
          </cell>
          <cell r="N1088">
            <v>5324323.1900000004</v>
          </cell>
          <cell r="O1088">
            <v>0</v>
          </cell>
          <cell r="X1088">
            <v>0</v>
          </cell>
          <cell r="AA1088">
            <v>5324323.1900000004</v>
          </cell>
          <cell r="AB1088">
            <v>4675676.8099999996</v>
          </cell>
        </row>
        <row r="1093">
          <cell r="E1093">
            <v>0</v>
          </cell>
          <cell r="N1093">
            <v>0</v>
          </cell>
          <cell r="O1093">
            <v>0</v>
          </cell>
          <cell r="X1093">
            <v>0</v>
          </cell>
          <cell r="AA1093">
            <v>0</v>
          </cell>
          <cell r="AB1093">
            <v>86825556</v>
          </cell>
        </row>
        <row r="1094">
          <cell r="E1094">
            <v>1250400.57</v>
          </cell>
          <cell r="N1094">
            <v>1250400.57</v>
          </cell>
          <cell r="O1094">
            <v>0</v>
          </cell>
          <cell r="X1094">
            <v>0</v>
          </cell>
          <cell r="AA1094">
            <v>1250400.57</v>
          </cell>
          <cell r="AB1094">
            <v>0</v>
          </cell>
        </row>
        <row r="1095">
          <cell r="E1095">
            <v>3000000</v>
          </cell>
          <cell r="N1095">
            <v>3000000</v>
          </cell>
          <cell r="O1095">
            <v>0</v>
          </cell>
          <cell r="X1095">
            <v>0</v>
          </cell>
          <cell r="AA1095">
            <v>3000000</v>
          </cell>
          <cell r="AB1095">
            <v>0</v>
          </cell>
        </row>
        <row r="1096">
          <cell r="E1096">
            <v>0</v>
          </cell>
          <cell r="N1096">
            <v>0</v>
          </cell>
          <cell r="O1096">
            <v>0</v>
          </cell>
          <cell r="X1096">
            <v>0</v>
          </cell>
          <cell r="AB1096">
            <v>0</v>
          </cell>
        </row>
        <row r="1097">
          <cell r="E1097">
            <v>0</v>
          </cell>
          <cell r="N1097">
            <v>0</v>
          </cell>
          <cell r="O1097">
            <v>0</v>
          </cell>
          <cell r="X1097">
            <v>0</v>
          </cell>
          <cell r="AA1097">
            <v>0</v>
          </cell>
          <cell r="AB1097">
            <v>7827235.29</v>
          </cell>
        </row>
        <row r="1098">
          <cell r="E1098">
            <v>0</v>
          </cell>
          <cell r="N1098">
            <v>0</v>
          </cell>
          <cell r="O1098">
            <v>0</v>
          </cell>
          <cell r="X1098">
            <v>0</v>
          </cell>
          <cell r="AA1098">
            <v>0</v>
          </cell>
          <cell r="AB1098">
            <v>2148907.44</v>
          </cell>
        </row>
        <row r="1103">
          <cell r="E1103">
            <v>0</v>
          </cell>
          <cell r="N1103">
            <v>0</v>
          </cell>
          <cell r="O1103">
            <v>1717552.75</v>
          </cell>
          <cell r="S1103">
            <v>958285.94</v>
          </cell>
          <cell r="X1103">
            <v>1717552.75</v>
          </cell>
          <cell r="AA1103">
            <v>1717552.75</v>
          </cell>
          <cell r="AB1103">
            <v>34965572.859999999</v>
          </cell>
        </row>
        <row r="1104">
          <cell r="E1104">
            <v>825740</v>
          </cell>
          <cell r="N1104">
            <v>825740</v>
          </cell>
          <cell r="O1104">
            <v>0</v>
          </cell>
          <cell r="X1104">
            <v>0</v>
          </cell>
          <cell r="AA1104">
            <v>825740</v>
          </cell>
          <cell r="AB1104">
            <v>0</v>
          </cell>
        </row>
        <row r="1105">
          <cell r="E1105">
            <v>3883333.2</v>
          </cell>
          <cell r="N1105">
            <v>3883333.2</v>
          </cell>
          <cell r="O1105">
            <v>0</v>
          </cell>
          <cell r="X1105">
            <v>0</v>
          </cell>
          <cell r="AA1105">
            <v>3883333.2</v>
          </cell>
          <cell r="AB1105">
            <v>0</v>
          </cell>
        </row>
        <row r="1106">
          <cell r="E1106">
            <v>1200000</v>
          </cell>
          <cell r="N1106">
            <v>1200000</v>
          </cell>
          <cell r="O1106">
            <v>0</v>
          </cell>
          <cell r="X1106">
            <v>0</v>
          </cell>
          <cell r="AA1106">
            <v>1200000</v>
          </cell>
          <cell r="AB1106">
            <v>0</v>
          </cell>
        </row>
        <row r="1107">
          <cell r="E1107">
            <v>0</v>
          </cell>
          <cell r="N1107">
            <v>0</v>
          </cell>
          <cell r="O1107">
            <v>38459.65</v>
          </cell>
          <cell r="S1107">
            <v>7004.7</v>
          </cell>
          <cell r="X1107">
            <v>38459.65</v>
          </cell>
          <cell r="AA1107">
            <v>38459.65</v>
          </cell>
          <cell r="AB1107">
            <v>4152816.37</v>
          </cell>
        </row>
        <row r="1111">
          <cell r="D1111">
            <v>373469.77999999997</v>
          </cell>
          <cell r="O1111">
            <v>373469.77999999997</v>
          </cell>
          <cell r="R1111">
            <v>373469.77999999997</v>
          </cell>
        </row>
        <row r="1117">
          <cell r="E1117">
            <v>15000000</v>
          </cell>
          <cell r="N1117">
            <v>15000000</v>
          </cell>
          <cell r="O1117">
            <v>5603896.2599999998</v>
          </cell>
          <cell r="P1117">
            <v>772910.16</v>
          </cell>
          <cell r="X1117">
            <v>6376806.4199999999</v>
          </cell>
          <cell r="AA1117">
            <v>21376806.420000002</v>
          </cell>
          <cell r="AB1117">
            <v>12027826.790000001</v>
          </cell>
        </row>
        <row r="1118">
          <cell r="E1118">
            <v>1000000</v>
          </cell>
          <cell r="N1118">
            <v>1000000</v>
          </cell>
          <cell r="O1118">
            <v>0</v>
          </cell>
          <cell r="X1118">
            <v>0</v>
          </cell>
          <cell r="AA1118">
            <v>1000000</v>
          </cell>
          <cell r="AB1118">
            <v>0</v>
          </cell>
        </row>
        <row r="1119">
          <cell r="E1119">
            <v>2500000</v>
          </cell>
          <cell r="N1119">
            <v>2500000</v>
          </cell>
          <cell r="O1119">
            <v>0</v>
          </cell>
          <cell r="X1119">
            <v>0</v>
          </cell>
          <cell r="AA1119">
            <v>2500000</v>
          </cell>
          <cell r="AB1119">
            <v>0</v>
          </cell>
        </row>
        <row r="1120">
          <cell r="E1120">
            <v>0</v>
          </cell>
          <cell r="N1120">
            <v>0</v>
          </cell>
          <cell r="O1120">
            <v>0</v>
          </cell>
          <cell r="X1120">
            <v>0</v>
          </cell>
          <cell r="AA1120">
            <v>0</v>
          </cell>
          <cell r="AB1120">
            <v>0</v>
          </cell>
        </row>
        <row r="1121">
          <cell r="E1121">
            <v>1783299.86</v>
          </cell>
          <cell r="N1121">
            <v>1783299.86</v>
          </cell>
          <cell r="O1121">
            <v>0</v>
          </cell>
          <cell r="X1121">
            <v>0</v>
          </cell>
          <cell r="AA1121">
            <v>1783299.86</v>
          </cell>
          <cell r="AB1121">
            <v>0</v>
          </cell>
        </row>
        <row r="1122">
          <cell r="E1122">
            <v>0</v>
          </cell>
          <cell r="N1122">
            <v>0</v>
          </cell>
          <cell r="O1122">
            <v>0</v>
          </cell>
          <cell r="X1122">
            <v>0</v>
          </cell>
          <cell r="AA1122">
            <v>0</v>
          </cell>
          <cell r="AB1122">
            <v>4342929.83</v>
          </cell>
        </row>
        <row r="1127">
          <cell r="E1127">
            <v>0</v>
          </cell>
          <cell r="N1127">
            <v>0</v>
          </cell>
          <cell r="O1127">
            <v>4980493.55</v>
          </cell>
          <cell r="S1127">
            <v>5932281.5499999998</v>
          </cell>
          <cell r="T1127">
            <v>4554143.84</v>
          </cell>
          <cell r="X1127">
            <v>4980493.55</v>
          </cell>
          <cell r="AA1127">
            <v>4980493.55</v>
          </cell>
          <cell r="AB1127">
            <v>125307537.94</v>
          </cell>
        </row>
        <row r="1128">
          <cell r="E1128">
            <v>253000</v>
          </cell>
          <cell r="N1128">
            <v>253000</v>
          </cell>
          <cell r="O1128">
            <v>0</v>
          </cell>
          <cell r="X1128">
            <v>0</v>
          </cell>
          <cell r="AA1128">
            <v>253000</v>
          </cell>
          <cell r="AB1128">
            <v>0</v>
          </cell>
        </row>
        <row r="1129">
          <cell r="E1129">
            <v>0</v>
          </cell>
          <cell r="N1129">
            <v>0</v>
          </cell>
          <cell r="O1129">
            <v>0</v>
          </cell>
          <cell r="X1129">
            <v>0</v>
          </cell>
          <cell r="AA1129">
            <v>0</v>
          </cell>
          <cell r="AB1129">
            <v>9059112.5</v>
          </cell>
        </row>
        <row r="1130">
          <cell r="E1130">
            <v>0</v>
          </cell>
          <cell r="N1130">
            <v>0</v>
          </cell>
          <cell r="O1130">
            <v>12387.78</v>
          </cell>
          <cell r="X1130">
            <v>12387.78</v>
          </cell>
          <cell r="AA1130">
            <v>12387.78</v>
          </cell>
          <cell r="AB1130">
            <v>15145652.960000001</v>
          </cell>
        </row>
        <row r="1135">
          <cell r="E1135">
            <v>0</v>
          </cell>
          <cell r="N1135">
            <v>0</v>
          </cell>
          <cell r="O1135">
            <v>271341.73</v>
          </cell>
          <cell r="S1135">
            <v>248021.49</v>
          </cell>
          <cell r="X1135">
            <v>271341.73</v>
          </cell>
          <cell r="AA1135">
            <v>271341.73</v>
          </cell>
          <cell r="AB1135">
            <v>66182205.399999999</v>
          </cell>
        </row>
        <row r="1136">
          <cell r="E1136">
            <v>6771866</v>
          </cell>
          <cell r="N1136">
            <v>6771866</v>
          </cell>
          <cell r="O1136">
            <v>0</v>
          </cell>
          <cell r="X1136">
            <v>0</v>
          </cell>
          <cell r="AA1136">
            <v>6771866</v>
          </cell>
          <cell r="AB1136">
            <v>0</v>
          </cell>
        </row>
        <row r="1137">
          <cell r="E1137">
            <v>5403040.8499999996</v>
          </cell>
          <cell r="N1137">
            <v>5403040.8499999996</v>
          </cell>
          <cell r="O1137">
            <v>0</v>
          </cell>
          <cell r="X1137">
            <v>0</v>
          </cell>
          <cell r="AA1137">
            <v>5403040.8499999996</v>
          </cell>
          <cell r="AB1137">
            <v>0</v>
          </cell>
        </row>
        <row r="1138">
          <cell r="E1138">
            <v>4600000</v>
          </cell>
          <cell r="N1138">
            <v>4600000</v>
          </cell>
          <cell r="O1138">
            <v>0</v>
          </cell>
          <cell r="X1138">
            <v>0</v>
          </cell>
          <cell r="AA1138">
            <v>4600000</v>
          </cell>
          <cell r="AB1138">
            <v>0</v>
          </cell>
        </row>
        <row r="1139">
          <cell r="E1139">
            <v>0</v>
          </cell>
          <cell r="N1139">
            <v>0</v>
          </cell>
          <cell r="O1139">
            <v>0</v>
          </cell>
          <cell r="X1139">
            <v>0</v>
          </cell>
          <cell r="AA1139">
            <v>0</v>
          </cell>
          <cell r="AB1139">
            <v>121199502.33</v>
          </cell>
        </row>
        <row r="1140">
          <cell r="E1140">
            <v>0</v>
          </cell>
          <cell r="N1140">
            <v>0</v>
          </cell>
          <cell r="O1140">
            <v>0</v>
          </cell>
          <cell r="X1140">
            <v>0</v>
          </cell>
          <cell r="AA1140">
            <v>0</v>
          </cell>
          <cell r="AB1140">
            <v>1937062.94</v>
          </cell>
        </row>
        <row r="1145">
          <cell r="E1145">
            <v>0</v>
          </cell>
          <cell r="N1145">
            <v>0</v>
          </cell>
          <cell r="O1145">
            <v>0</v>
          </cell>
          <cell r="X1145">
            <v>0</v>
          </cell>
          <cell r="AA1145">
            <v>0</v>
          </cell>
          <cell r="AB1145">
            <v>13050293.369999999</v>
          </cell>
        </row>
        <row r="1146">
          <cell r="E1146">
            <v>8000000</v>
          </cell>
          <cell r="N1146">
            <v>8000000</v>
          </cell>
          <cell r="O1146">
            <v>0</v>
          </cell>
          <cell r="X1146">
            <v>0</v>
          </cell>
          <cell r="AA1146">
            <v>8000000</v>
          </cell>
          <cell r="AB1146">
            <v>0</v>
          </cell>
        </row>
        <row r="1147">
          <cell r="E1147">
            <v>105081.2</v>
          </cell>
          <cell r="N1147">
            <v>105081.2</v>
          </cell>
          <cell r="O1147">
            <v>0</v>
          </cell>
          <cell r="X1147">
            <v>0</v>
          </cell>
          <cell r="AA1147">
            <v>105081.2</v>
          </cell>
          <cell r="AB1147">
            <v>0</v>
          </cell>
        </row>
        <row r="1148">
          <cell r="E1148">
            <v>0</v>
          </cell>
          <cell r="N1148">
            <v>0</v>
          </cell>
          <cell r="O1148">
            <v>4673005.51</v>
          </cell>
          <cell r="X1148">
            <v>4673005.51</v>
          </cell>
          <cell r="AA1148">
            <v>4673005.51</v>
          </cell>
          <cell r="AB1148">
            <v>0</v>
          </cell>
        </row>
        <row r="1149">
          <cell r="E1149">
            <v>0</v>
          </cell>
          <cell r="N1149">
            <v>0</v>
          </cell>
          <cell r="O1149">
            <v>5603896.2599999998</v>
          </cell>
          <cell r="X1149">
            <v>5603896.2599999998</v>
          </cell>
          <cell r="AA1149">
            <v>5603896.2599999998</v>
          </cell>
          <cell r="AB1149">
            <v>0</v>
          </cell>
        </row>
        <row r="1179">
          <cell r="I1179">
            <v>127170043.59</v>
          </cell>
          <cell r="J1179">
            <v>174313284.05000001</v>
          </cell>
          <cell r="K1179">
            <v>1295752.56</v>
          </cell>
          <cell r="L1179">
            <v>0</v>
          </cell>
          <cell r="N1179">
            <v>127170043.59</v>
          </cell>
          <cell r="O1179">
            <v>174313284.05000001</v>
          </cell>
          <cell r="P1179">
            <v>1295752.56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X1179">
            <v>175609036.60999998</v>
          </cell>
        </row>
        <row r="1180">
          <cell r="I1180">
            <v>225587394.02000001</v>
          </cell>
          <cell r="J1180">
            <v>0</v>
          </cell>
          <cell r="K1180">
            <v>0</v>
          </cell>
          <cell r="L1180">
            <v>0</v>
          </cell>
          <cell r="N1180">
            <v>225587394.02000001</v>
          </cell>
          <cell r="O1180">
            <v>0</v>
          </cell>
          <cell r="P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X1180">
            <v>0</v>
          </cell>
        </row>
        <row r="1181">
          <cell r="I1181">
            <v>1763926.02</v>
          </cell>
          <cell r="J1181">
            <v>2165213.2400000002</v>
          </cell>
          <cell r="K1181">
            <v>0</v>
          </cell>
          <cell r="L1181">
            <v>0</v>
          </cell>
          <cell r="N1181">
            <v>1763926.02</v>
          </cell>
          <cell r="O1181">
            <v>2165213.2400000002</v>
          </cell>
          <cell r="P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X1181">
            <v>2165213.2400000002</v>
          </cell>
        </row>
        <row r="1182">
          <cell r="I1182">
            <v>193119684.14000002</v>
          </cell>
          <cell r="J1182">
            <v>29010536.150000002</v>
          </cell>
          <cell r="K1182">
            <v>522842.4</v>
          </cell>
          <cell r="L1182">
            <v>0</v>
          </cell>
          <cell r="N1182">
            <v>13000000</v>
          </cell>
          <cell r="O1182">
            <v>0</v>
          </cell>
          <cell r="P1182">
            <v>0</v>
          </cell>
          <cell r="V1182">
            <v>0</v>
          </cell>
          <cell r="X1182">
            <v>0</v>
          </cell>
        </row>
        <row r="1183">
          <cell r="L1183">
            <v>0</v>
          </cell>
          <cell r="N1183">
            <v>1000000</v>
          </cell>
          <cell r="O1183">
            <v>0</v>
          </cell>
          <cell r="P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X1183">
            <v>0</v>
          </cell>
        </row>
        <row r="1184">
          <cell r="I1184">
            <v>202309111.29999998</v>
          </cell>
          <cell r="J1184">
            <v>5947239.0699999994</v>
          </cell>
          <cell r="K1184">
            <v>0</v>
          </cell>
          <cell r="L1184">
            <v>0</v>
          </cell>
          <cell r="N1184">
            <v>145574576.49000001</v>
          </cell>
          <cell r="O1184">
            <v>0</v>
          </cell>
          <cell r="P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X1184">
            <v>0</v>
          </cell>
        </row>
        <row r="1185">
          <cell r="I1185">
            <v>300428586</v>
          </cell>
          <cell r="J1185">
            <v>0</v>
          </cell>
          <cell r="K1185">
            <v>0</v>
          </cell>
          <cell r="L1185">
            <v>0</v>
          </cell>
          <cell r="N1185">
            <v>300428586</v>
          </cell>
          <cell r="O1185">
            <v>0</v>
          </cell>
          <cell r="P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X1185">
            <v>0</v>
          </cell>
        </row>
        <row r="1186">
          <cell r="I1186">
            <v>8840000</v>
          </cell>
          <cell r="J1186">
            <v>0</v>
          </cell>
          <cell r="K1186">
            <v>0</v>
          </cell>
          <cell r="L1186">
            <v>0</v>
          </cell>
          <cell r="N1186">
            <v>8840000</v>
          </cell>
          <cell r="O1186">
            <v>0</v>
          </cell>
          <cell r="P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X1186">
            <v>0</v>
          </cell>
        </row>
        <row r="1187">
          <cell r="I1187">
            <v>269439707.98000002</v>
          </cell>
          <cell r="J1187">
            <v>0</v>
          </cell>
          <cell r="K1187">
            <v>0</v>
          </cell>
          <cell r="L1187">
            <v>0</v>
          </cell>
          <cell r="N1187">
            <v>244439707.97999999</v>
          </cell>
          <cell r="O1187">
            <v>0</v>
          </cell>
          <cell r="P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X1187">
            <v>0</v>
          </cell>
        </row>
        <row r="1188">
          <cell r="I1188">
            <v>34319767.960000001</v>
          </cell>
          <cell r="J1188">
            <v>0</v>
          </cell>
          <cell r="K1188">
            <v>0</v>
          </cell>
          <cell r="L1188">
            <v>0</v>
          </cell>
          <cell r="N1188">
            <v>34319767.960000001</v>
          </cell>
          <cell r="O1188">
            <v>0</v>
          </cell>
          <cell r="P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X1188">
            <v>0</v>
          </cell>
        </row>
        <row r="1189">
          <cell r="I1189">
            <v>9500000</v>
          </cell>
          <cell r="J1189">
            <v>0</v>
          </cell>
          <cell r="K1189">
            <v>0</v>
          </cell>
          <cell r="L1189">
            <v>0</v>
          </cell>
          <cell r="N1189">
            <v>9500000</v>
          </cell>
          <cell r="O1189">
            <v>0</v>
          </cell>
          <cell r="P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X1189">
            <v>0</v>
          </cell>
        </row>
        <row r="1190">
          <cell r="I1190">
            <v>1300000</v>
          </cell>
          <cell r="J1190">
            <v>0</v>
          </cell>
          <cell r="K1190">
            <v>0</v>
          </cell>
          <cell r="L1190">
            <v>0</v>
          </cell>
          <cell r="N1190">
            <v>1300000</v>
          </cell>
          <cell r="O1190">
            <v>0</v>
          </cell>
          <cell r="P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X1190">
            <v>0</v>
          </cell>
        </row>
        <row r="1191"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N1191">
            <v>0</v>
          </cell>
          <cell r="O1191">
            <v>0</v>
          </cell>
          <cell r="P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X1191">
            <v>0</v>
          </cell>
        </row>
        <row r="1192"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N1192">
            <v>170174199.77599999</v>
          </cell>
          <cell r="O1192">
            <v>0</v>
          </cell>
          <cell r="P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X1192">
            <v>0</v>
          </cell>
        </row>
        <row r="1193">
          <cell r="I1193">
            <v>5843730.0300000003</v>
          </cell>
          <cell r="J1193">
            <v>835222.3</v>
          </cell>
          <cell r="K1193">
            <v>0</v>
          </cell>
          <cell r="L1193">
            <v>0</v>
          </cell>
          <cell r="N1193">
            <v>4500000</v>
          </cell>
          <cell r="O1193">
            <v>1523732.22</v>
          </cell>
          <cell r="P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X1193">
            <v>1523732.22</v>
          </cell>
        </row>
        <row r="1194">
          <cell r="I1194">
            <v>36131000</v>
          </cell>
          <cell r="J1194">
            <v>0</v>
          </cell>
          <cell r="K1194">
            <v>0</v>
          </cell>
          <cell r="L1194">
            <v>0</v>
          </cell>
          <cell r="N1194">
            <v>69437081.200000003</v>
          </cell>
          <cell r="O1194">
            <v>0</v>
          </cell>
          <cell r="P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X1194">
            <v>0</v>
          </cell>
        </row>
        <row r="1195"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N1195">
            <v>0</v>
          </cell>
          <cell r="O1195">
            <v>0</v>
          </cell>
          <cell r="P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X1195">
            <v>0</v>
          </cell>
        </row>
        <row r="1196">
          <cell r="I1196">
            <v>0</v>
          </cell>
          <cell r="J1196">
            <v>14468645.159999998</v>
          </cell>
          <cell r="K1196">
            <v>0</v>
          </cell>
          <cell r="L1196">
            <v>0</v>
          </cell>
          <cell r="N1196">
            <v>0</v>
          </cell>
          <cell r="O1196">
            <v>14468645.159999998</v>
          </cell>
          <cell r="P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X1196">
            <v>14468645.159999998</v>
          </cell>
        </row>
        <row r="1197">
          <cell r="H1197">
            <v>8406124</v>
          </cell>
          <cell r="I1197">
            <v>8406124</v>
          </cell>
          <cell r="J1197">
            <v>0</v>
          </cell>
          <cell r="K1197">
            <v>0</v>
          </cell>
          <cell r="L1197">
            <v>0</v>
          </cell>
          <cell r="N1197">
            <v>8406124</v>
          </cell>
          <cell r="O1197">
            <v>0</v>
          </cell>
          <cell r="P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X1197">
            <v>0</v>
          </cell>
        </row>
        <row r="1198">
          <cell r="I1198">
            <v>147429395.63999999</v>
          </cell>
          <cell r="J1198">
            <v>62839227.089999996</v>
          </cell>
          <cell r="K1198">
            <v>0</v>
          </cell>
          <cell r="L1198">
            <v>0</v>
          </cell>
          <cell r="N1198">
            <v>2378645590.6300001</v>
          </cell>
          <cell r="O1198">
            <v>0</v>
          </cell>
          <cell r="P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X1198">
            <v>0</v>
          </cell>
        </row>
        <row r="1199"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N1199">
            <v>0</v>
          </cell>
          <cell r="O1199">
            <v>0</v>
          </cell>
          <cell r="P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X1199">
            <v>0</v>
          </cell>
        </row>
        <row r="1200">
          <cell r="I1200">
            <v>43280837.399999999</v>
          </cell>
          <cell r="J1200">
            <v>3340889.2</v>
          </cell>
          <cell r="K1200">
            <v>0</v>
          </cell>
          <cell r="L1200">
            <v>0</v>
          </cell>
          <cell r="N1200">
            <v>43280837.399999999</v>
          </cell>
          <cell r="O1200">
            <v>3340889.2</v>
          </cell>
          <cell r="P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X1200">
            <v>3340889.2</v>
          </cell>
        </row>
        <row r="1201">
          <cell r="I1201">
            <v>0</v>
          </cell>
          <cell r="J1201">
            <v>58196378.840000004</v>
          </cell>
          <cell r="K1201">
            <v>872518.86</v>
          </cell>
          <cell r="L1201">
            <v>0</v>
          </cell>
          <cell r="N1201">
            <v>0</v>
          </cell>
          <cell r="O1201">
            <v>58196378.840000004</v>
          </cell>
          <cell r="P1201">
            <v>872518.86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X1201">
            <v>59068897.700000003</v>
          </cell>
        </row>
        <row r="1202">
          <cell r="I1202">
            <v>0</v>
          </cell>
          <cell r="J1202">
            <v>5043072.21</v>
          </cell>
          <cell r="K1202">
            <v>0</v>
          </cell>
          <cell r="L1202">
            <v>0</v>
          </cell>
          <cell r="N1202">
            <v>0</v>
          </cell>
          <cell r="O1202">
            <v>5043072.21</v>
          </cell>
          <cell r="P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X1202">
            <v>5043072.21</v>
          </cell>
        </row>
        <row r="1203">
          <cell r="I1203">
            <v>95118</v>
          </cell>
          <cell r="J1203">
            <v>348957771.50999999</v>
          </cell>
          <cell r="K1203">
            <v>0</v>
          </cell>
          <cell r="L1203">
            <v>0</v>
          </cell>
          <cell r="N1203">
            <v>95118</v>
          </cell>
          <cell r="O1203">
            <v>348957771.50999999</v>
          </cell>
          <cell r="P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X1203">
            <v>348957771.50999999</v>
          </cell>
        </row>
        <row r="1204">
          <cell r="I1204">
            <v>0</v>
          </cell>
          <cell r="J1204">
            <v>328680546.59999996</v>
          </cell>
          <cell r="K1204">
            <v>0</v>
          </cell>
          <cell r="L1204">
            <v>0</v>
          </cell>
          <cell r="N1204">
            <v>0</v>
          </cell>
          <cell r="O1204">
            <v>366472749.65999991</v>
          </cell>
          <cell r="P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X1204">
            <v>366472749.65999991</v>
          </cell>
        </row>
        <row r="1205">
          <cell r="L1205">
            <v>0</v>
          </cell>
          <cell r="N1205">
            <v>36321182.473000005</v>
          </cell>
          <cell r="O1205">
            <v>0</v>
          </cell>
          <cell r="P1205">
            <v>0</v>
          </cell>
          <cell r="V1205">
            <v>0</v>
          </cell>
          <cell r="X1205">
            <v>0</v>
          </cell>
        </row>
        <row r="1206"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N1206">
            <v>0</v>
          </cell>
          <cell r="O1206">
            <v>0</v>
          </cell>
          <cell r="P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X1206">
            <v>0</v>
          </cell>
        </row>
        <row r="1207">
          <cell r="I1207">
            <v>837838.57</v>
          </cell>
          <cell r="J1207">
            <v>0</v>
          </cell>
          <cell r="K1207">
            <v>0</v>
          </cell>
          <cell r="L1207">
            <v>0</v>
          </cell>
          <cell r="N1207">
            <v>837838.57</v>
          </cell>
          <cell r="O1207">
            <v>0</v>
          </cell>
          <cell r="P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X1207">
            <v>0</v>
          </cell>
        </row>
        <row r="1208">
          <cell r="I1208">
            <v>4359759.62</v>
          </cell>
          <cell r="J1208">
            <v>0</v>
          </cell>
          <cell r="K1208">
            <v>0</v>
          </cell>
          <cell r="L1208">
            <v>0</v>
          </cell>
          <cell r="N1208">
            <v>4359759.62</v>
          </cell>
          <cell r="O1208">
            <v>0</v>
          </cell>
          <cell r="P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X1208">
            <v>0</v>
          </cell>
        </row>
        <row r="1209">
          <cell r="I1209">
            <v>16734577.060000001</v>
          </cell>
          <cell r="J1209">
            <v>0</v>
          </cell>
          <cell r="K1209">
            <v>0</v>
          </cell>
          <cell r="L1209">
            <v>0</v>
          </cell>
          <cell r="N1209">
            <v>16734577.060000001</v>
          </cell>
          <cell r="O1209">
            <v>0</v>
          </cell>
          <cell r="P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X1209">
            <v>0</v>
          </cell>
        </row>
        <row r="1210"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N1210">
            <v>0</v>
          </cell>
          <cell r="O1210">
            <v>0</v>
          </cell>
          <cell r="P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X1210">
            <v>0</v>
          </cell>
        </row>
        <row r="1211">
          <cell r="I1211">
            <v>5617680.4800000004</v>
          </cell>
          <cell r="J1211">
            <v>835222.3</v>
          </cell>
          <cell r="K1211">
            <v>0</v>
          </cell>
          <cell r="L1211">
            <v>0</v>
          </cell>
          <cell r="N1211">
            <v>0</v>
          </cell>
          <cell r="O1211">
            <v>2000000</v>
          </cell>
          <cell r="P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X1211">
            <v>2000000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1631"/>
  <sheetViews>
    <sheetView tabSelected="1" workbookViewId="0"/>
  </sheetViews>
  <sheetFormatPr defaultRowHeight="15" x14ac:dyDescent="0.2"/>
  <cols>
    <col min="1" max="1" width="7.28515625" style="3" customWidth="1"/>
    <col min="2" max="2" width="23.42578125" style="3" customWidth="1"/>
    <col min="3" max="3" width="45.28515625" style="3" customWidth="1"/>
    <col min="4" max="4" width="18" style="3" customWidth="1"/>
    <col min="5" max="5" width="20" style="3" hidden="1" customWidth="1"/>
    <col min="6" max="6" width="21" style="3" hidden="1" customWidth="1"/>
    <col min="7" max="7" width="11.42578125" style="3" hidden="1" customWidth="1"/>
    <col min="8" max="8" width="18" style="3" customWidth="1"/>
    <col min="9" max="11" width="0" style="3" hidden="1" customWidth="1"/>
    <col min="12" max="12" width="17.5703125" style="3" hidden="1" customWidth="1"/>
    <col min="13" max="13" width="0" style="3" hidden="1" customWidth="1"/>
    <col min="14" max="14" width="21.7109375" style="3" hidden="1" customWidth="1"/>
    <col min="15" max="15" width="21" style="3" hidden="1" customWidth="1"/>
    <col min="16" max="16" width="16.42578125" style="3" hidden="1" customWidth="1"/>
    <col min="17" max="17" width="0" style="3" hidden="1" customWidth="1"/>
    <col min="18" max="18" width="15.5703125" style="3" customWidth="1"/>
    <col min="19" max="21" width="0" style="3" hidden="1" customWidth="1"/>
    <col min="22" max="22" width="16" style="3" hidden="1" customWidth="1"/>
    <col min="23" max="23" width="0" style="3" hidden="1" customWidth="1"/>
    <col min="24" max="24" width="17.28515625" style="3" hidden="1" customWidth="1"/>
    <col min="25" max="25" width="19" style="3" customWidth="1"/>
    <col min="26" max="26" width="16.5703125" style="3" customWidth="1"/>
    <col min="27" max="28" width="21.85546875" style="3" hidden="1" customWidth="1"/>
    <col min="29" max="29" width="3.7109375" style="3" customWidth="1"/>
    <col min="30" max="30" width="21.85546875" style="3" hidden="1" customWidth="1"/>
    <col min="31" max="31" width="5.7109375" style="3" hidden="1" customWidth="1"/>
    <col min="32" max="32" width="19.7109375" style="3" hidden="1" customWidth="1"/>
    <col min="33" max="33" width="17.5703125" style="3" hidden="1" customWidth="1"/>
    <col min="34" max="34" width="15.28515625" style="3" hidden="1" customWidth="1"/>
    <col min="35" max="35" width="17.5703125" style="3" hidden="1" customWidth="1"/>
    <col min="36" max="36" width="12.140625" style="3" hidden="1" customWidth="1"/>
    <col min="37" max="38" width="15.28515625" style="3" hidden="1" customWidth="1"/>
    <col min="39" max="39" width="12.140625" style="3" hidden="1" customWidth="1"/>
    <col min="40" max="40" width="15.28515625" style="3" hidden="1" customWidth="1"/>
    <col min="41" max="41" width="12.140625" style="3" hidden="1" customWidth="1"/>
    <col min="42" max="45" width="15.28515625" style="3" hidden="1" customWidth="1"/>
    <col min="46" max="50" width="0" style="3" hidden="1" customWidth="1"/>
    <col min="51" max="51" width="12.5703125" style="3" bestFit="1" customWidth="1"/>
    <col min="52" max="16384" width="9.140625" style="3"/>
  </cols>
  <sheetData>
    <row r="1" spans="1:45" ht="18" x14ac:dyDescent="0.25">
      <c r="A1" s="1"/>
      <c r="B1" s="2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45" ht="18" x14ac:dyDescent="0.25">
      <c r="A2" s="1"/>
      <c r="B2" s="5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45" ht="18" x14ac:dyDescent="0.25">
      <c r="A3" s="1"/>
      <c r="B3" s="5" t="s">
        <v>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45" x14ac:dyDescent="0.2">
      <c r="D4" s="6" t="s">
        <v>3</v>
      </c>
      <c r="E4" s="6" t="s">
        <v>4</v>
      </c>
      <c r="F4" s="6" t="s">
        <v>5</v>
      </c>
      <c r="G4" s="6"/>
      <c r="H4" s="7"/>
      <c r="I4" s="6" t="s">
        <v>6</v>
      </c>
      <c r="J4" s="6" t="s">
        <v>7</v>
      </c>
      <c r="K4" s="6" t="s">
        <v>8</v>
      </c>
      <c r="L4" s="6" t="s">
        <v>9</v>
      </c>
      <c r="M4" s="6"/>
      <c r="N4" s="6" t="s">
        <v>10</v>
      </c>
      <c r="O4" s="6" t="s">
        <v>11</v>
      </c>
      <c r="P4" s="6" t="s">
        <v>5</v>
      </c>
      <c r="Q4" s="6"/>
      <c r="R4" s="7"/>
      <c r="S4" s="6" t="s">
        <v>12</v>
      </c>
      <c r="T4" s="6" t="s">
        <v>7</v>
      </c>
      <c r="U4" s="6" t="s">
        <v>8</v>
      </c>
      <c r="V4" s="6" t="s">
        <v>13</v>
      </c>
      <c r="W4" s="6"/>
      <c r="X4" s="6" t="s">
        <v>5</v>
      </c>
      <c r="Y4" s="6" t="s">
        <v>14</v>
      </c>
      <c r="Z4" s="6" t="s">
        <v>15</v>
      </c>
      <c r="AA4" s="6" t="s">
        <v>5</v>
      </c>
      <c r="AB4" s="6" t="s">
        <v>16</v>
      </c>
      <c r="AC4" s="6"/>
      <c r="AD4" s="6"/>
      <c r="AF4" s="8" t="s">
        <v>3</v>
      </c>
      <c r="AG4" s="8" t="s">
        <v>4</v>
      </c>
      <c r="AH4" s="8" t="s">
        <v>5</v>
      </c>
      <c r="AI4" s="9"/>
      <c r="AJ4" s="8" t="s">
        <v>9</v>
      </c>
      <c r="AK4" s="8" t="s">
        <v>10</v>
      </c>
      <c r="AL4" s="8" t="s">
        <v>11</v>
      </c>
      <c r="AM4" s="8" t="s">
        <v>5</v>
      </c>
      <c r="AN4" s="9"/>
      <c r="AO4" s="8" t="s">
        <v>13</v>
      </c>
      <c r="AP4" s="8" t="s">
        <v>5</v>
      </c>
      <c r="AQ4" s="8" t="s">
        <v>5</v>
      </c>
      <c r="AR4" s="8" t="s">
        <v>16</v>
      </c>
      <c r="AS4" s="8" t="s">
        <v>16</v>
      </c>
    </row>
    <row r="5" spans="1:45" x14ac:dyDescent="0.2">
      <c r="B5" s="10"/>
      <c r="C5" s="11"/>
      <c r="D5" s="12" t="s">
        <v>17</v>
      </c>
      <c r="E5" s="12" t="s">
        <v>18</v>
      </c>
      <c r="F5" s="12" t="s">
        <v>19</v>
      </c>
      <c r="G5" s="12"/>
      <c r="H5" s="13" t="s">
        <v>20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 t="s">
        <v>21</v>
      </c>
      <c r="T5" s="12" t="s">
        <v>22</v>
      </c>
      <c r="U5" s="12" t="s">
        <v>23</v>
      </c>
      <c r="V5" s="12" t="s">
        <v>12</v>
      </c>
      <c r="W5" s="12"/>
      <c r="X5" s="12" t="s">
        <v>24</v>
      </c>
      <c r="Y5" s="6" t="s">
        <v>5</v>
      </c>
      <c r="Z5" s="12" t="s">
        <v>16</v>
      </c>
      <c r="AA5" s="12" t="s">
        <v>25</v>
      </c>
      <c r="AB5" s="12" t="s">
        <v>25</v>
      </c>
      <c r="AC5" s="12"/>
      <c r="AD5" s="12"/>
      <c r="AF5" s="10" t="s">
        <v>26</v>
      </c>
      <c r="AG5" s="10">
        <f>+O5</f>
        <v>0</v>
      </c>
      <c r="AH5" s="10" t="s">
        <v>19</v>
      </c>
      <c r="AI5" s="10" t="s">
        <v>27</v>
      </c>
      <c r="AJ5" s="10" t="s">
        <v>12</v>
      </c>
      <c r="AK5" s="10" t="s">
        <v>28</v>
      </c>
      <c r="AL5" s="10" t="str">
        <f>+E5</f>
        <v>AS OF 11/30/05</v>
      </c>
      <c r="AM5" s="10" t="s">
        <v>19</v>
      </c>
      <c r="AN5" s="10" t="s">
        <v>29</v>
      </c>
      <c r="AO5" s="10" t="s">
        <v>12</v>
      </c>
      <c r="AP5" s="10" t="s">
        <v>24</v>
      </c>
      <c r="AQ5" s="10" t="s">
        <v>30</v>
      </c>
      <c r="AR5" s="10" t="s">
        <v>30</v>
      </c>
      <c r="AS5" s="10" t="s">
        <v>25</v>
      </c>
    </row>
    <row r="6" spans="1:45" x14ac:dyDescent="0.2">
      <c r="B6" s="14" t="s">
        <v>31</v>
      </c>
      <c r="C6" s="15" t="s">
        <v>32</v>
      </c>
      <c r="D6" s="16" t="s">
        <v>15</v>
      </c>
      <c r="E6" s="16"/>
      <c r="F6" s="16"/>
      <c r="G6" s="16"/>
      <c r="H6" s="16" t="s">
        <v>9</v>
      </c>
      <c r="I6" s="16"/>
      <c r="J6" s="16"/>
      <c r="K6" s="16"/>
      <c r="L6" s="16"/>
      <c r="M6" s="16"/>
      <c r="N6" s="16"/>
      <c r="O6" s="16"/>
      <c r="P6" s="16"/>
      <c r="Q6" s="16"/>
      <c r="R6" s="16" t="s">
        <v>33</v>
      </c>
      <c r="S6" s="16"/>
      <c r="T6" s="16"/>
      <c r="U6" s="16"/>
      <c r="V6" s="16"/>
      <c r="W6" s="16"/>
      <c r="X6" s="16"/>
      <c r="Y6" s="16" t="s">
        <v>30</v>
      </c>
      <c r="Z6" s="16" t="s">
        <v>30</v>
      </c>
      <c r="AA6" s="16" t="s">
        <v>34</v>
      </c>
      <c r="AB6" s="16" t="s">
        <v>35</v>
      </c>
      <c r="AC6" s="12"/>
      <c r="AD6" s="12"/>
      <c r="AF6" s="14" t="s">
        <v>36</v>
      </c>
      <c r="AG6" s="14" t="s">
        <v>37</v>
      </c>
      <c r="AH6" s="14" t="s">
        <v>38</v>
      </c>
      <c r="AI6" s="14" t="s">
        <v>39</v>
      </c>
      <c r="AJ6" s="14" t="s">
        <v>40</v>
      </c>
      <c r="AK6" s="14" t="s">
        <v>41</v>
      </c>
      <c r="AL6" s="14" t="s">
        <v>42</v>
      </c>
      <c r="AM6" s="14" t="s">
        <v>43</v>
      </c>
      <c r="AN6" s="14" t="s">
        <v>44</v>
      </c>
      <c r="AO6" s="14" t="s">
        <v>45</v>
      </c>
      <c r="AP6" s="14" t="s">
        <v>46</v>
      </c>
      <c r="AQ6" s="14" t="s">
        <v>47</v>
      </c>
      <c r="AR6" s="14" t="s">
        <v>48</v>
      </c>
      <c r="AS6" s="14" t="s">
        <v>35</v>
      </c>
    </row>
    <row r="7" spans="1:45" x14ac:dyDescent="0.2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45" x14ac:dyDescent="0.2">
      <c r="B8" s="17" t="s">
        <v>49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45" x14ac:dyDescent="0.2">
      <c r="B9" s="17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45" x14ac:dyDescent="0.2">
      <c r="A10" s="18">
        <v>1</v>
      </c>
      <c r="B10" s="17" t="s">
        <v>50</v>
      </c>
      <c r="C10" s="17" t="s">
        <v>51</v>
      </c>
      <c r="D10" s="19">
        <f>101338305/1000</f>
        <v>101338.30499999999</v>
      </c>
      <c r="E10" s="19">
        <f>[1]TOBEPAID!E12/1000</f>
        <v>10000</v>
      </c>
      <c r="F10" s="19">
        <f>[1]TOBEPAID!F12/1000</f>
        <v>0</v>
      </c>
      <c r="G10" s="19">
        <f>[1]TOBEPAID!G12/1000</f>
        <v>0</v>
      </c>
      <c r="H10" s="19">
        <f>101338502/1000</f>
        <v>101338.50199999999</v>
      </c>
      <c r="I10" s="19">
        <f>[1]TOBEPAID!I12/1000</f>
        <v>0</v>
      </c>
      <c r="J10" s="19">
        <f>[1]TOBEPAID!J12/1000</f>
        <v>0</v>
      </c>
      <c r="K10" s="19">
        <f>[1]TOBEPAID!K12/1000</f>
        <v>0</v>
      </c>
      <c r="L10" s="19">
        <f>[1]TOBEPAID!L12/1000</f>
        <v>0</v>
      </c>
      <c r="M10" s="19">
        <f>[1]TOBEPAID!M12/1000</f>
        <v>0</v>
      </c>
      <c r="N10" s="19">
        <f>[1]TOBEPAID!N12/1000</f>
        <v>10000</v>
      </c>
      <c r="O10" s="19">
        <f>[1]TOBEPAID!O12/1000</f>
        <v>0</v>
      </c>
      <c r="P10" s="19">
        <f>[1]TOBEPAID!P12/1000</f>
        <v>0</v>
      </c>
      <c r="Q10" s="19">
        <f>[1]TOBEPAID!Q12/1000</f>
        <v>0</v>
      </c>
      <c r="R10" s="19">
        <v>0</v>
      </c>
      <c r="S10" s="19">
        <f>[1]TOBEPAID!S12/1000</f>
        <v>0</v>
      </c>
      <c r="T10" s="19">
        <f>[1]TOBEPAID!T12/1000</f>
        <v>0</v>
      </c>
      <c r="U10" s="19">
        <f>[1]TOBEPAID!U12/1000</f>
        <v>0</v>
      </c>
      <c r="V10" s="19">
        <f>[1]TOBEPAID!V12/1000</f>
        <v>0</v>
      </c>
      <c r="W10" s="19">
        <f>[1]TOBEPAID!W12/1000</f>
        <v>0</v>
      </c>
      <c r="X10" s="19">
        <f>[1]TOBEPAID!X12/1000</f>
        <v>0</v>
      </c>
      <c r="Y10" s="19">
        <f>+H10+R10</f>
        <v>101338.50199999999</v>
      </c>
      <c r="Z10" s="19">
        <f>+Y10-D10</f>
        <v>0.19700000000011642</v>
      </c>
      <c r="AA10" s="19">
        <f>[1]TOBEPAID!AA12/1000</f>
        <v>10000</v>
      </c>
      <c r="AB10" s="19">
        <f>[1]TOBEPAID!AB12/1000</f>
        <v>32427.115939999996</v>
      </c>
      <c r="AC10" s="19"/>
      <c r="AD10" s="19"/>
    </row>
    <row r="11" spans="1:45" x14ac:dyDescent="0.2">
      <c r="A11" s="18"/>
      <c r="C11" s="20" t="s">
        <v>52</v>
      </c>
      <c r="D11" s="19">
        <f>1485240/1000</f>
        <v>1485.24</v>
      </c>
      <c r="E11" s="19">
        <f>[1]TOBEPAID!E13/1000</f>
        <v>1485.24065</v>
      </c>
      <c r="F11" s="19">
        <f>[1]TOBEPAID!F13/1000</f>
        <v>0</v>
      </c>
      <c r="G11" s="19">
        <f>[1]TOBEPAID!G13/1000</f>
        <v>0</v>
      </c>
      <c r="H11" s="19">
        <f>1485240.65/1000</f>
        <v>1485.24065</v>
      </c>
      <c r="I11" s="19">
        <f>[1]TOBEPAID!I13/1000</f>
        <v>0</v>
      </c>
      <c r="J11" s="19">
        <f>[1]TOBEPAID!J13/1000</f>
        <v>0</v>
      </c>
      <c r="K11" s="19">
        <f>[1]TOBEPAID!K13/1000</f>
        <v>0</v>
      </c>
      <c r="L11" s="19">
        <f>[1]TOBEPAID!L13/1000</f>
        <v>0</v>
      </c>
      <c r="M11" s="19">
        <f>[1]TOBEPAID!M13/1000</f>
        <v>0</v>
      </c>
      <c r="N11" s="19">
        <f>[1]TOBEPAID!N13/1000</f>
        <v>1485.24065</v>
      </c>
      <c r="O11" s="19">
        <f>[1]TOBEPAID!O13/1000</f>
        <v>0</v>
      </c>
      <c r="P11" s="19">
        <f>[1]TOBEPAID!P13/1000</f>
        <v>0</v>
      </c>
      <c r="Q11" s="19">
        <f>[1]TOBEPAID!Q13/1000</f>
        <v>0</v>
      </c>
      <c r="R11" s="19">
        <v>0</v>
      </c>
      <c r="S11" s="19">
        <f>[1]TOBEPAID!S13/1000</f>
        <v>0</v>
      </c>
      <c r="T11" s="19">
        <f>[1]TOBEPAID!T13/1000</f>
        <v>0</v>
      </c>
      <c r="U11" s="19">
        <f>[1]TOBEPAID!U13/1000</f>
        <v>0</v>
      </c>
      <c r="V11" s="19">
        <f>[1]TOBEPAID!V13/1000</f>
        <v>0</v>
      </c>
      <c r="W11" s="19">
        <f>[1]TOBEPAID!W13/1000</f>
        <v>0</v>
      </c>
      <c r="X11" s="19">
        <f>[1]TOBEPAID!X13/1000</f>
        <v>0</v>
      </c>
      <c r="Y11" s="19">
        <f>+H11+R11</f>
        <v>1485.24065</v>
      </c>
      <c r="Z11" s="19">
        <f>+Y11-D11</f>
        <v>6.4999999995052349E-4</v>
      </c>
      <c r="AA11" s="19">
        <f>[1]TOBEPAID!AA13/1000</f>
        <v>1485.24065</v>
      </c>
      <c r="AB11" s="19">
        <f>[1]TOBEPAID!AB13/1000</f>
        <v>0</v>
      </c>
      <c r="AC11" s="19"/>
      <c r="AD11" s="19"/>
    </row>
    <row r="12" spans="1:45" x14ac:dyDescent="0.2">
      <c r="C12" s="3" t="s">
        <v>53</v>
      </c>
      <c r="D12" s="19">
        <f>9158767.1/1000</f>
        <v>9158.7670999999991</v>
      </c>
      <c r="E12" s="19">
        <f>[1]TOBEPAID!E14/1000</f>
        <v>9158.7670999999991</v>
      </c>
      <c r="F12" s="19">
        <f>[1]TOBEPAID!F14/1000</f>
        <v>0</v>
      </c>
      <c r="G12" s="19">
        <f>[1]TOBEPAID!G14/1000</f>
        <v>0</v>
      </c>
      <c r="H12" s="19">
        <f>9158767/1000</f>
        <v>9158.7669999999998</v>
      </c>
      <c r="I12" s="19">
        <f>[1]TOBEPAID!I14/1000</f>
        <v>0</v>
      </c>
      <c r="J12" s="19">
        <f>[1]TOBEPAID!J14/1000</f>
        <v>0</v>
      </c>
      <c r="K12" s="19">
        <f>[1]TOBEPAID!K14/1000</f>
        <v>0</v>
      </c>
      <c r="L12" s="19">
        <f>[1]TOBEPAID!L14/1000</f>
        <v>0</v>
      </c>
      <c r="M12" s="19">
        <f>[1]TOBEPAID!M14/1000</f>
        <v>0</v>
      </c>
      <c r="N12" s="19">
        <f>[1]TOBEPAID!N14/1000</f>
        <v>9158.7670999999991</v>
      </c>
      <c r="O12" s="19">
        <f>[1]TOBEPAID!O14/1000</f>
        <v>0</v>
      </c>
      <c r="P12" s="19">
        <f>[1]TOBEPAID!P14/1000</f>
        <v>0</v>
      </c>
      <c r="Q12" s="19">
        <f>[1]TOBEPAID!Q14/1000</f>
        <v>0</v>
      </c>
      <c r="R12" s="19">
        <v>0</v>
      </c>
      <c r="S12" s="19">
        <f>[1]TOBEPAID!S14/1000</f>
        <v>0</v>
      </c>
      <c r="T12" s="19">
        <f>[1]TOBEPAID!T14/1000</f>
        <v>0</v>
      </c>
      <c r="U12" s="19">
        <f>[1]TOBEPAID!U14/1000</f>
        <v>0</v>
      </c>
      <c r="V12" s="19">
        <f>[1]TOBEPAID!V14/1000</f>
        <v>0</v>
      </c>
      <c r="W12" s="19">
        <f>[1]TOBEPAID!W14/1000</f>
        <v>0</v>
      </c>
      <c r="X12" s="19">
        <f>[1]TOBEPAID!X14/1000</f>
        <v>0</v>
      </c>
      <c r="Y12" s="19">
        <f>+H12+R12</f>
        <v>9158.7669999999998</v>
      </c>
      <c r="Z12" s="19">
        <f>+D12-Y12</f>
        <v>9.999999929277692E-5</v>
      </c>
      <c r="AA12" s="19">
        <f>[1]TOBEPAID!AA14/1000</f>
        <v>9158.7670999999991</v>
      </c>
      <c r="AB12" s="19">
        <f>[1]TOBEPAID!AB14/1000</f>
        <v>0</v>
      </c>
      <c r="AC12" s="19"/>
      <c r="AD12" s="19"/>
    </row>
    <row r="13" spans="1:45" x14ac:dyDescent="0.2">
      <c r="A13" s="18"/>
      <c r="C13" s="17" t="s">
        <v>54</v>
      </c>
      <c r="D13" s="19">
        <v>0</v>
      </c>
      <c r="E13" s="19">
        <f>[1]TOBEPAID!E15/1000</f>
        <v>0</v>
      </c>
      <c r="F13" s="19">
        <f>[1]TOBEPAID!F15/1000</f>
        <v>0</v>
      </c>
      <c r="G13" s="19">
        <f>[1]TOBEPAID!G15/1000</f>
        <v>0</v>
      </c>
      <c r="H13" s="19">
        <f>[1]TOBEPAID!H15/1000</f>
        <v>0</v>
      </c>
      <c r="I13" s="19">
        <f>[1]TOBEPAID!I15/1000</f>
        <v>0</v>
      </c>
      <c r="J13" s="19">
        <f>[1]TOBEPAID!J15/1000</f>
        <v>0</v>
      </c>
      <c r="K13" s="19">
        <f>[1]TOBEPAID!K15/1000</f>
        <v>0</v>
      </c>
      <c r="L13" s="19">
        <f>[1]TOBEPAID!L15/1000</f>
        <v>0</v>
      </c>
      <c r="M13" s="19">
        <f>[1]TOBEPAID!M15/1000</f>
        <v>0</v>
      </c>
      <c r="N13" s="19">
        <f>[1]TOBEPAID!N15/1000</f>
        <v>0</v>
      </c>
      <c r="O13" s="19">
        <f>[1]TOBEPAID!O15/1000</f>
        <v>0</v>
      </c>
      <c r="P13" s="19">
        <f>[1]TOBEPAID!P15/1000</f>
        <v>0</v>
      </c>
      <c r="Q13" s="19">
        <f>[1]TOBEPAID!Q15/1000</f>
        <v>0</v>
      </c>
      <c r="R13" s="19">
        <v>0</v>
      </c>
      <c r="S13" s="19">
        <f>[1]TOBEPAID!S15/1000</f>
        <v>0</v>
      </c>
      <c r="T13" s="19">
        <f>[1]TOBEPAID!T15/1000</f>
        <v>0</v>
      </c>
      <c r="U13" s="19">
        <f>[1]TOBEPAID!U15/1000</f>
        <v>0</v>
      </c>
      <c r="V13" s="19">
        <f>[1]TOBEPAID!V15/1000</f>
        <v>0</v>
      </c>
      <c r="W13" s="19">
        <f>[1]TOBEPAID!W15/1000</f>
        <v>0</v>
      </c>
      <c r="X13" s="19">
        <f>[1]TOBEPAID!X15/1000</f>
        <v>0</v>
      </c>
      <c r="Y13" s="19">
        <f>+H13+R13</f>
        <v>0</v>
      </c>
      <c r="Z13" s="19">
        <f>+D13-Y13</f>
        <v>0</v>
      </c>
      <c r="AA13" s="19">
        <f>[1]TOBEPAID!AA15/1000</f>
        <v>0</v>
      </c>
      <c r="AB13" s="19">
        <f>[1]TOBEPAID!AB15/1000</f>
        <v>49699.845500000003</v>
      </c>
      <c r="AC13" s="19"/>
      <c r="AD13" s="19"/>
    </row>
    <row r="14" spans="1:45" x14ac:dyDescent="0.2">
      <c r="A14" s="18"/>
      <c r="C14" s="17" t="s">
        <v>55</v>
      </c>
      <c r="D14" s="19">
        <v>0</v>
      </c>
      <c r="E14" s="19">
        <f>[1]TOBEPAID!E16/1000</f>
        <v>0</v>
      </c>
      <c r="F14" s="19">
        <f>[1]TOBEPAID!F16/1000</f>
        <v>0</v>
      </c>
      <c r="G14" s="19">
        <f>[1]TOBEPAID!G16/1000</f>
        <v>0</v>
      </c>
      <c r="H14" s="19">
        <f>[1]TOBEPAID!H16/1000</f>
        <v>0</v>
      </c>
      <c r="I14" s="19">
        <f>[1]TOBEPAID!I16/1000</f>
        <v>0</v>
      </c>
      <c r="J14" s="19">
        <f>[1]TOBEPAID!J16/1000</f>
        <v>0</v>
      </c>
      <c r="K14" s="19">
        <f>[1]TOBEPAID!K16/1000</f>
        <v>0</v>
      </c>
      <c r="L14" s="19">
        <f>[1]TOBEPAID!L16/1000</f>
        <v>0</v>
      </c>
      <c r="M14" s="19">
        <f>[1]TOBEPAID!M16/1000</f>
        <v>0</v>
      </c>
      <c r="N14" s="19">
        <f>[1]TOBEPAID!N16/1000</f>
        <v>0</v>
      </c>
      <c r="O14" s="19">
        <f>[1]TOBEPAID!O16/1000</f>
        <v>0</v>
      </c>
      <c r="P14" s="19">
        <f>[1]TOBEPAID!P16/1000</f>
        <v>0</v>
      </c>
      <c r="Q14" s="19">
        <f>[1]TOBEPAID!Q16/1000</f>
        <v>0</v>
      </c>
      <c r="R14" s="19">
        <v>0</v>
      </c>
      <c r="S14" s="19">
        <f>[1]TOBEPAID!S16/1000</f>
        <v>0</v>
      </c>
      <c r="T14" s="19">
        <f>[1]TOBEPAID!T16/1000</f>
        <v>0</v>
      </c>
      <c r="U14" s="19">
        <f>[1]TOBEPAID!U16/1000</f>
        <v>0</v>
      </c>
      <c r="V14" s="19">
        <f>[1]TOBEPAID!V16/1000</f>
        <v>0</v>
      </c>
      <c r="W14" s="19">
        <f>[1]TOBEPAID!W16/1000</f>
        <v>0</v>
      </c>
      <c r="X14" s="19">
        <f>[1]TOBEPAID!X16/1000</f>
        <v>0</v>
      </c>
      <c r="Y14" s="19">
        <f>+H14+R14</f>
        <v>0</v>
      </c>
      <c r="Z14" s="19">
        <f>+D14-Y14</f>
        <v>0</v>
      </c>
      <c r="AA14" s="19">
        <f>[1]TOBEPAID!AA16/1000</f>
        <v>0</v>
      </c>
      <c r="AB14" s="19">
        <f>[1]TOBEPAID!AB16/1000</f>
        <v>3930</v>
      </c>
      <c r="AC14" s="19"/>
      <c r="AD14" s="19"/>
    </row>
    <row r="15" spans="1:45" x14ac:dyDescent="0.2">
      <c r="A15" s="18"/>
      <c r="C15" s="17" t="s">
        <v>56</v>
      </c>
      <c r="D15" s="19">
        <v>0</v>
      </c>
      <c r="E15" s="19">
        <f>[1]TOBEPAID!E17/1000</f>
        <v>0</v>
      </c>
      <c r="F15" s="19">
        <f>[1]TOBEPAID!F17/1000</f>
        <v>0</v>
      </c>
      <c r="G15" s="19">
        <f>[1]TOBEPAID!G17/1000</f>
        <v>0</v>
      </c>
      <c r="H15" s="19">
        <f>[1]TOBEPAID!H17/1000</f>
        <v>0</v>
      </c>
      <c r="I15" s="19">
        <f>[1]TOBEPAID!I17/1000</f>
        <v>0</v>
      </c>
      <c r="J15" s="19">
        <f>[1]TOBEPAID!J17/1000</f>
        <v>0</v>
      </c>
      <c r="K15" s="19">
        <f>[1]TOBEPAID!K17/1000</f>
        <v>0</v>
      </c>
      <c r="L15" s="19">
        <f>[1]TOBEPAID!L17/1000</f>
        <v>0</v>
      </c>
      <c r="M15" s="19">
        <f>[1]TOBEPAID!M17/1000</f>
        <v>0</v>
      </c>
      <c r="N15" s="19">
        <f>[1]TOBEPAID!N17/1000</f>
        <v>0</v>
      </c>
      <c r="O15" s="19">
        <f>[1]TOBEPAID!O17/1000</f>
        <v>0</v>
      </c>
      <c r="P15" s="19">
        <f>[1]TOBEPAID!P17/1000</f>
        <v>0</v>
      </c>
      <c r="Q15" s="19">
        <f>[1]TOBEPAID!Q17/1000</f>
        <v>0</v>
      </c>
      <c r="R15" s="19">
        <v>0</v>
      </c>
      <c r="S15" s="19">
        <f>[1]TOBEPAID!S17/1000</f>
        <v>0</v>
      </c>
      <c r="T15" s="19">
        <f>[1]TOBEPAID!T17/1000</f>
        <v>0</v>
      </c>
      <c r="U15" s="19">
        <f>[1]TOBEPAID!U17/1000</f>
        <v>0</v>
      </c>
      <c r="V15" s="19">
        <f>[1]TOBEPAID!V17/1000</f>
        <v>0</v>
      </c>
      <c r="W15" s="19">
        <f>[1]TOBEPAID!W17/1000</f>
        <v>0</v>
      </c>
      <c r="X15" s="19">
        <f>[1]TOBEPAID!X17/1000</f>
        <v>0</v>
      </c>
      <c r="Y15" s="19">
        <f>[1]TOBEPAID!Y17/1000</f>
        <v>0</v>
      </c>
      <c r="Z15" s="19">
        <f>+D15-Y15</f>
        <v>0</v>
      </c>
      <c r="AA15" s="19">
        <f>[1]TOBEPAID!AA17/1000</f>
        <v>0</v>
      </c>
      <c r="AB15" s="19">
        <f>[1]TOBEPAID!AB17/1000</f>
        <v>5281.3445499999998</v>
      </c>
      <c r="AC15" s="19"/>
      <c r="AD15" s="19"/>
    </row>
    <row r="16" spans="1:45" x14ac:dyDescent="0.2">
      <c r="A16" s="18"/>
      <c r="D16" s="21" t="s">
        <v>57</v>
      </c>
      <c r="E16" s="21" t="s">
        <v>57</v>
      </c>
      <c r="F16" s="21" t="s">
        <v>57</v>
      </c>
      <c r="G16" s="21"/>
      <c r="H16" s="21" t="s">
        <v>57</v>
      </c>
      <c r="I16" s="21" t="s">
        <v>57</v>
      </c>
      <c r="J16" s="21" t="s">
        <v>57</v>
      </c>
      <c r="K16" s="21" t="s">
        <v>57</v>
      </c>
      <c r="L16" s="21" t="s">
        <v>57</v>
      </c>
      <c r="M16" s="21"/>
      <c r="N16" s="21" t="s">
        <v>57</v>
      </c>
      <c r="O16" s="21" t="s">
        <v>57</v>
      </c>
      <c r="P16" s="21" t="s">
        <v>57</v>
      </c>
      <c r="Q16" s="21"/>
      <c r="R16" s="21" t="s">
        <v>57</v>
      </c>
      <c r="S16" s="21" t="s">
        <v>57</v>
      </c>
      <c r="T16" s="21" t="s">
        <v>57</v>
      </c>
      <c r="U16" s="21" t="s">
        <v>57</v>
      </c>
      <c r="V16" s="21" t="s">
        <v>57</v>
      </c>
      <c r="W16" s="21"/>
      <c r="X16" s="21" t="s">
        <v>57</v>
      </c>
      <c r="Y16" s="21" t="s">
        <v>57</v>
      </c>
      <c r="Z16" s="21" t="s">
        <v>57</v>
      </c>
      <c r="AA16" s="21" t="s">
        <v>57</v>
      </c>
      <c r="AB16" s="21" t="s">
        <v>57</v>
      </c>
      <c r="AC16" s="21"/>
      <c r="AD16" s="21"/>
    </row>
    <row r="17" spans="1:30" x14ac:dyDescent="0.2">
      <c r="A17" s="18"/>
      <c r="D17" s="19">
        <f>SUM(D10:D15)</f>
        <v>111982.3121</v>
      </c>
      <c r="E17" s="19">
        <f>SUM(E10:E15)</f>
        <v>20644.007749999997</v>
      </c>
      <c r="F17" s="19">
        <f>SUM(F10:F15)</f>
        <v>0</v>
      </c>
      <c r="G17" s="19"/>
      <c r="H17" s="19">
        <f>SUM(H10:H15)</f>
        <v>111982.50964999999</v>
      </c>
      <c r="I17" s="19">
        <f>SUM(I10:I15)</f>
        <v>0</v>
      </c>
      <c r="J17" s="19">
        <f>SUM(J10:J15)</f>
        <v>0</v>
      </c>
      <c r="K17" s="19">
        <f>SUM(K10:K15)</f>
        <v>0</v>
      </c>
      <c r="L17" s="19">
        <f>SUM(L10:L15)</f>
        <v>0</v>
      </c>
      <c r="M17" s="19"/>
      <c r="N17" s="19">
        <f>SUM(N10:N15)</f>
        <v>20644.007749999997</v>
      </c>
      <c r="O17" s="19">
        <f>SUM(O10:O15)</f>
        <v>0</v>
      </c>
      <c r="P17" s="19">
        <f>SUM(P10:P15)</f>
        <v>0</v>
      </c>
      <c r="Q17" s="19"/>
      <c r="R17" s="19">
        <f>SUM(R10:R15)</f>
        <v>0</v>
      </c>
      <c r="S17" s="19">
        <f>SUM(S10:S15)</f>
        <v>0</v>
      </c>
      <c r="T17" s="19">
        <f>SUM(T10:T15)</f>
        <v>0</v>
      </c>
      <c r="U17" s="19">
        <f>SUM(U10:U15)</f>
        <v>0</v>
      </c>
      <c r="V17" s="19">
        <f>SUM(V10:V15)</f>
        <v>0</v>
      </c>
      <c r="W17" s="19"/>
      <c r="X17" s="19">
        <f>SUM(X10:X15)</f>
        <v>0</v>
      </c>
      <c r="Y17" s="19">
        <f>SUM(Y10:Y15)</f>
        <v>111982.50964999999</v>
      </c>
      <c r="Z17" s="19">
        <f>SUM(Z10:Z15)</f>
        <v>0.19774999999935972</v>
      </c>
      <c r="AA17" s="19">
        <f>SUM(AA10:AA15)</f>
        <v>20644.007749999997</v>
      </c>
      <c r="AB17" s="19">
        <f>SUM(AB10:AB15)</f>
        <v>91338.305989999993</v>
      </c>
      <c r="AC17" s="19"/>
      <c r="AD17" s="19"/>
    </row>
    <row r="18" spans="1:30" x14ac:dyDescent="0.2">
      <c r="A18" s="18"/>
      <c r="B18" s="3" t="str">
        <f>+B10</f>
        <v>ILOCOS NORTE</v>
      </c>
      <c r="D18" s="21" t="s">
        <v>57</v>
      </c>
      <c r="E18" s="21" t="s">
        <v>57</v>
      </c>
      <c r="F18" s="21" t="s">
        <v>57</v>
      </c>
      <c r="G18" s="21"/>
      <c r="H18" s="21" t="s">
        <v>57</v>
      </c>
      <c r="I18" s="21" t="s">
        <v>57</v>
      </c>
      <c r="J18" s="21" t="s">
        <v>57</v>
      </c>
      <c r="K18" s="21" t="s">
        <v>57</v>
      </c>
      <c r="L18" s="21" t="s">
        <v>57</v>
      </c>
      <c r="M18" s="21"/>
      <c r="N18" s="21" t="s">
        <v>57</v>
      </c>
      <c r="O18" s="21" t="s">
        <v>57</v>
      </c>
      <c r="P18" s="21" t="s">
        <v>57</v>
      </c>
      <c r="Q18" s="21"/>
      <c r="R18" s="21" t="s">
        <v>57</v>
      </c>
      <c r="S18" s="21" t="s">
        <v>57</v>
      </c>
      <c r="T18" s="21" t="s">
        <v>57</v>
      </c>
      <c r="U18" s="21" t="s">
        <v>57</v>
      </c>
      <c r="V18" s="21" t="s">
        <v>57</v>
      </c>
      <c r="W18" s="21"/>
      <c r="X18" s="21" t="s">
        <v>57</v>
      </c>
      <c r="Y18" s="21" t="s">
        <v>57</v>
      </c>
      <c r="Z18" s="21" t="s">
        <v>57</v>
      </c>
      <c r="AA18" s="21" t="s">
        <v>57</v>
      </c>
      <c r="AB18" s="21" t="s">
        <v>57</v>
      </c>
      <c r="AC18" s="21"/>
      <c r="AD18" s="21"/>
    </row>
    <row r="19" spans="1:30" ht="15.75" thickBot="1" x14ac:dyDescent="0.25">
      <c r="A19" s="18"/>
      <c r="B19" s="22" t="s">
        <v>58</v>
      </c>
      <c r="D19" s="23">
        <f>[1]TOBEPAID!D21/1000</f>
        <v>467.40695999999997</v>
      </c>
      <c r="E19" s="19">
        <f>[1]TOBEPAID!E21/1000</f>
        <v>0</v>
      </c>
      <c r="F19" s="19">
        <f>[1]TOBEPAID!F21/1000</f>
        <v>0</v>
      </c>
      <c r="G19" s="19">
        <f>[1]TOBEPAID!G21/1000</f>
        <v>0</v>
      </c>
      <c r="H19" s="19"/>
      <c r="I19" s="19">
        <f>[1]TOBEPAID!I21/1000</f>
        <v>0</v>
      </c>
      <c r="J19" s="19">
        <f>[1]TOBEPAID!J21/1000</f>
        <v>0</v>
      </c>
      <c r="K19" s="19">
        <f>[1]TOBEPAID!K21/1000</f>
        <v>0</v>
      </c>
      <c r="L19" s="19">
        <f>[1]TOBEPAID!L21/1000</f>
        <v>0</v>
      </c>
      <c r="M19" s="19">
        <f>[1]TOBEPAID!M21/1000</f>
        <v>0</v>
      </c>
      <c r="N19" s="19">
        <f>[1]TOBEPAID!N21/1000</f>
        <v>0</v>
      </c>
      <c r="O19" s="19">
        <f>[1]TOBEPAID!O21/1000</f>
        <v>467.40695999999997</v>
      </c>
      <c r="P19" s="19">
        <f>[1]TOBEPAID!P21/1000</f>
        <v>0</v>
      </c>
      <c r="Q19" s="19">
        <f>[1]TOBEPAID!Q21/1000</f>
        <v>0</v>
      </c>
      <c r="R19" s="23">
        <f>[1]TOBEPAID!R21/1000</f>
        <v>467.40695999999997</v>
      </c>
      <c r="S19" s="19">
        <f>[1]TOBEPAID!S21/1000</f>
        <v>0</v>
      </c>
      <c r="T19" s="19">
        <f>[1]TOBEPAID!T21/1000</f>
        <v>0</v>
      </c>
      <c r="U19" s="19">
        <f>[1]TOBEPAID!U21/1000</f>
        <v>0</v>
      </c>
      <c r="V19" s="19">
        <f>[1]TOBEPAID!V21/1000</f>
        <v>0</v>
      </c>
      <c r="W19" s="19">
        <f>[1]TOBEPAID!W21/1000</f>
        <v>0</v>
      </c>
      <c r="X19" s="19">
        <f>[1]TOBEPAID!X21/1000</f>
        <v>0</v>
      </c>
      <c r="Y19" s="23">
        <f>+H19+R19</f>
        <v>467.40695999999997</v>
      </c>
      <c r="Z19" s="23">
        <f>[1]TOBEPAID!Z21/1000</f>
        <v>0</v>
      </c>
      <c r="AA19" s="19">
        <f>[1]TOBEPAID!AA21/1000</f>
        <v>0</v>
      </c>
      <c r="AB19" s="19">
        <f>[1]TOBEPAID!AB21/1000</f>
        <v>0</v>
      </c>
      <c r="AC19" s="19"/>
      <c r="AD19" s="19"/>
    </row>
    <row r="20" spans="1:30" ht="15.75" thickTop="1" x14ac:dyDescent="0.2">
      <c r="A20" s="18">
        <v>2</v>
      </c>
      <c r="B20" s="17" t="s">
        <v>59</v>
      </c>
      <c r="C20" s="17" t="s">
        <v>51</v>
      </c>
      <c r="D20" s="19">
        <f>65491730/1000</f>
        <v>65491.73</v>
      </c>
      <c r="E20" s="19">
        <f>[1]TOBEPAID!E22/1000</f>
        <v>0</v>
      </c>
      <c r="F20" s="19">
        <f>[1]TOBEPAID!F22/1000</f>
        <v>0</v>
      </c>
      <c r="G20" s="19">
        <f>[1]TOBEPAID!G22/1000</f>
        <v>0</v>
      </c>
      <c r="H20" s="19">
        <v>0</v>
      </c>
      <c r="I20" s="19">
        <f>[1]TOBEPAID!I22/1000</f>
        <v>0</v>
      </c>
      <c r="J20" s="19">
        <f>[1]TOBEPAID!J22/1000</f>
        <v>0</v>
      </c>
      <c r="K20" s="19">
        <f>[1]TOBEPAID!K22/1000</f>
        <v>0</v>
      </c>
      <c r="L20" s="19">
        <f>[1]TOBEPAID!L22/1000</f>
        <v>0</v>
      </c>
      <c r="M20" s="19">
        <f>[1]TOBEPAID!M22/1000</f>
        <v>0</v>
      </c>
      <c r="N20" s="19">
        <f>[1]TOBEPAID!N22/1000</f>
        <v>0</v>
      </c>
      <c r="O20" s="19">
        <f>[1]TOBEPAID!O22/1000</f>
        <v>0</v>
      </c>
      <c r="P20" s="19">
        <f>[1]TOBEPAID!P22/1000</f>
        <v>0</v>
      </c>
      <c r="Q20" s="19">
        <f>[1]TOBEPAID!Q22/1000</f>
        <v>0</v>
      </c>
      <c r="R20" s="19">
        <v>0</v>
      </c>
      <c r="S20" s="19">
        <f>[1]TOBEPAID!S22/1000</f>
        <v>0</v>
      </c>
      <c r="T20" s="19">
        <f>[1]TOBEPAID!T22/1000</f>
        <v>0</v>
      </c>
      <c r="U20" s="19">
        <f>[1]TOBEPAID!U22/1000</f>
        <v>0</v>
      </c>
      <c r="V20" s="19">
        <f>[1]TOBEPAID!V22/1000</f>
        <v>0</v>
      </c>
      <c r="W20" s="19">
        <f>[1]TOBEPAID!W22/1000</f>
        <v>0</v>
      </c>
      <c r="X20" s="19">
        <f>[1]TOBEPAID!X22/1000</f>
        <v>0</v>
      </c>
      <c r="Y20" s="19">
        <f>+H20+R20</f>
        <v>0</v>
      </c>
      <c r="Z20" s="19">
        <f>+D20-Y20</f>
        <v>65491.73</v>
      </c>
      <c r="AA20" s="19">
        <f>[1]TOBEPAID!AA22/1000</f>
        <v>0</v>
      </c>
      <c r="AB20" s="19">
        <f>[1]TOBEPAID!AB22/1000</f>
        <v>65491.730499999998</v>
      </c>
      <c r="AC20" s="19"/>
      <c r="AD20" s="19"/>
    </row>
    <row r="21" spans="1:30" x14ac:dyDescent="0.2">
      <c r="A21" s="18"/>
      <c r="C21" s="20" t="s">
        <v>52</v>
      </c>
      <c r="D21" s="19">
        <f>2264731/1000</f>
        <v>2264.7310000000002</v>
      </c>
      <c r="E21" s="19">
        <f>[1]TOBEPAID!E23/1000</f>
        <v>2264.7312599999996</v>
      </c>
      <c r="F21" s="19">
        <f>[1]TOBEPAID!F23/1000</f>
        <v>0</v>
      </c>
      <c r="G21" s="19">
        <f>[1]TOBEPAID!G23/1000</f>
        <v>0</v>
      </c>
      <c r="H21" s="19">
        <f>2264731/1000</f>
        <v>2264.7310000000002</v>
      </c>
      <c r="I21" s="19">
        <f>[1]TOBEPAID!I23/1000</f>
        <v>0</v>
      </c>
      <c r="J21" s="19">
        <f>[1]TOBEPAID!J23/1000</f>
        <v>0</v>
      </c>
      <c r="K21" s="19">
        <f>[1]TOBEPAID!K23/1000</f>
        <v>0</v>
      </c>
      <c r="L21" s="19">
        <f>[1]TOBEPAID!L23/1000</f>
        <v>0</v>
      </c>
      <c r="M21" s="19">
        <f>[1]TOBEPAID!M23/1000</f>
        <v>0</v>
      </c>
      <c r="N21" s="19">
        <f>[1]TOBEPAID!N23/1000</f>
        <v>2264.7312599999996</v>
      </c>
      <c r="O21" s="19">
        <f>[1]TOBEPAID!O23/1000</f>
        <v>0</v>
      </c>
      <c r="P21" s="19">
        <f>[1]TOBEPAID!P23/1000</f>
        <v>0</v>
      </c>
      <c r="Q21" s="19">
        <f>[1]TOBEPAID!Q23/1000</f>
        <v>0</v>
      </c>
      <c r="R21" s="19">
        <v>0</v>
      </c>
      <c r="S21" s="19">
        <f>[1]TOBEPAID!S23/1000</f>
        <v>0</v>
      </c>
      <c r="T21" s="19">
        <f>[1]TOBEPAID!T23/1000</f>
        <v>0</v>
      </c>
      <c r="U21" s="19">
        <f>[1]TOBEPAID!U23/1000</f>
        <v>0</v>
      </c>
      <c r="V21" s="19">
        <f>[1]TOBEPAID!V23/1000</f>
        <v>0</v>
      </c>
      <c r="W21" s="19">
        <f>[1]TOBEPAID!W23/1000</f>
        <v>0</v>
      </c>
      <c r="X21" s="19">
        <f>[1]TOBEPAID!X23/1000</f>
        <v>0</v>
      </c>
      <c r="Y21" s="19">
        <f>+H21+R21</f>
        <v>2264.7310000000002</v>
      </c>
      <c r="Z21" s="19">
        <f>+D21-Y21</f>
        <v>0</v>
      </c>
      <c r="AA21" s="19">
        <f>[1]TOBEPAID!AA23/1000</f>
        <v>2264.7312599999996</v>
      </c>
      <c r="AB21" s="19">
        <f>[1]TOBEPAID!AB23/1000</f>
        <v>0</v>
      </c>
      <c r="AC21" s="19"/>
      <c r="AD21" s="19"/>
    </row>
    <row r="22" spans="1:30" x14ac:dyDescent="0.2">
      <c r="A22" s="18"/>
      <c r="C22" s="17" t="s">
        <v>54</v>
      </c>
      <c r="D22" s="19">
        <f>75920788/1000</f>
        <v>75920.788</v>
      </c>
      <c r="E22" s="19">
        <f>[1]TOBEPAID!E24/1000</f>
        <v>0</v>
      </c>
      <c r="F22" s="19">
        <f>[1]TOBEPAID!F24/1000</f>
        <v>0</v>
      </c>
      <c r="G22" s="19">
        <f>[1]TOBEPAID!G24/1000</f>
        <v>0</v>
      </c>
      <c r="H22" s="19">
        <v>0</v>
      </c>
      <c r="I22" s="19">
        <f>[1]TOBEPAID!I24/1000</f>
        <v>0</v>
      </c>
      <c r="J22" s="19">
        <f>[1]TOBEPAID!J24/1000</f>
        <v>0</v>
      </c>
      <c r="K22" s="19">
        <f>[1]TOBEPAID!K24/1000</f>
        <v>0</v>
      </c>
      <c r="L22" s="19">
        <f>[1]TOBEPAID!L24/1000</f>
        <v>0</v>
      </c>
      <c r="M22" s="19">
        <f>[1]TOBEPAID!M24/1000</f>
        <v>0</v>
      </c>
      <c r="N22" s="19">
        <f>[1]TOBEPAID!N24/1000</f>
        <v>0</v>
      </c>
      <c r="O22" s="19">
        <f>[1]TOBEPAID!O24/1000</f>
        <v>0</v>
      </c>
      <c r="P22" s="19">
        <f>[1]TOBEPAID!P24/1000</f>
        <v>0</v>
      </c>
      <c r="Q22" s="19">
        <f>[1]TOBEPAID!Q24/1000</f>
        <v>0</v>
      </c>
      <c r="R22" s="19">
        <v>0</v>
      </c>
      <c r="S22" s="19">
        <f>[1]TOBEPAID!S24/1000</f>
        <v>0</v>
      </c>
      <c r="T22" s="19">
        <f>[1]TOBEPAID!T24/1000</f>
        <v>0</v>
      </c>
      <c r="U22" s="19">
        <f>[1]TOBEPAID!U24/1000</f>
        <v>0</v>
      </c>
      <c r="V22" s="19">
        <f>[1]TOBEPAID!V24/1000</f>
        <v>0</v>
      </c>
      <c r="W22" s="19">
        <f>[1]TOBEPAID!W24/1000</f>
        <v>0</v>
      </c>
      <c r="X22" s="19">
        <f>[1]TOBEPAID!X24/1000</f>
        <v>0</v>
      </c>
      <c r="Y22" s="19">
        <f>+H22+R22</f>
        <v>0</v>
      </c>
      <c r="Z22" s="19">
        <f>+D22-Y22</f>
        <v>75920.788</v>
      </c>
      <c r="AA22" s="19">
        <f>[1]TOBEPAID!AA24/1000</f>
        <v>0</v>
      </c>
      <c r="AB22" s="19">
        <f>[1]TOBEPAID!AB24/1000</f>
        <v>75920.788530000005</v>
      </c>
      <c r="AC22" s="19"/>
      <c r="AD22" s="19"/>
    </row>
    <row r="23" spans="1:30" x14ac:dyDescent="0.2">
      <c r="A23" s="18"/>
      <c r="C23" s="17" t="s">
        <v>56</v>
      </c>
      <c r="D23" s="19">
        <f>2636031/1000</f>
        <v>2636.0309999999999</v>
      </c>
      <c r="E23" s="19">
        <f>[1]TOBEPAID!E25/1000</f>
        <v>0</v>
      </c>
      <c r="F23" s="19">
        <f>[1]TOBEPAID!F25/1000</f>
        <v>0</v>
      </c>
      <c r="G23" s="19">
        <f>[1]TOBEPAID!G25/1000</f>
        <v>0</v>
      </c>
      <c r="H23" s="19">
        <v>0</v>
      </c>
      <c r="I23" s="19">
        <f>[1]TOBEPAID!I25/1000</f>
        <v>0</v>
      </c>
      <c r="J23" s="19">
        <f>[1]TOBEPAID!J25/1000</f>
        <v>0</v>
      </c>
      <c r="K23" s="19">
        <f>[1]TOBEPAID!K25/1000</f>
        <v>0</v>
      </c>
      <c r="L23" s="19">
        <f>[1]TOBEPAID!L25/1000</f>
        <v>0</v>
      </c>
      <c r="M23" s="19">
        <f>[1]TOBEPAID!M25/1000</f>
        <v>0</v>
      </c>
      <c r="N23" s="19">
        <f>[1]TOBEPAID!N25/1000</f>
        <v>0</v>
      </c>
      <c r="O23" s="19">
        <f>[1]TOBEPAID!O25/1000</f>
        <v>0</v>
      </c>
      <c r="P23" s="19">
        <f>[1]TOBEPAID!P25/1000</f>
        <v>0</v>
      </c>
      <c r="Q23" s="19">
        <f>[1]TOBEPAID!Q25/1000</f>
        <v>0</v>
      </c>
      <c r="R23" s="19">
        <v>0</v>
      </c>
      <c r="S23" s="19">
        <f>[1]TOBEPAID!S25/1000</f>
        <v>0</v>
      </c>
      <c r="T23" s="19">
        <f>[1]TOBEPAID!T25/1000</f>
        <v>0</v>
      </c>
      <c r="U23" s="19">
        <f>[1]TOBEPAID!U25/1000</f>
        <v>0</v>
      </c>
      <c r="V23" s="19">
        <f>[1]TOBEPAID!V25/1000</f>
        <v>0</v>
      </c>
      <c r="W23" s="19">
        <f>[1]TOBEPAID!W25/1000</f>
        <v>0</v>
      </c>
      <c r="X23" s="19">
        <f>[1]TOBEPAID!X25/1000</f>
        <v>0</v>
      </c>
      <c r="Y23" s="19">
        <f>+H23+R23</f>
        <v>0</v>
      </c>
      <c r="Z23" s="19">
        <f>+D23-Y23</f>
        <v>2636.0309999999999</v>
      </c>
      <c r="AA23" s="19">
        <f>[1]TOBEPAID!AA25/1000</f>
        <v>0</v>
      </c>
      <c r="AB23" s="19">
        <f>[1]TOBEPAID!AB25/1000</f>
        <v>2636.0314100000001</v>
      </c>
      <c r="AC23" s="19"/>
      <c r="AD23" s="19"/>
    </row>
    <row r="24" spans="1:30" x14ac:dyDescent="0.2">
      <c r="A24" s="18"/>
      <c r="D24" s="21" t="s">
        <v>57</v>
      </c>
      <c r="E24" s="21" t="s">
        <v>57</v>
      </c>
      <c r="F24" s="21" t="s">
        <v>57</v>
      </c>
      <c r="G24" s="21"/>
      <c r="H24" s="21" t="s">
        <v>57</v>
      </c>
      <c r="I24" s="21" t="s">
        <v>57</v>
      </c>
      <c r="J24" s="21" t="s">
        <v>57</v>
      </c>
      <c r="K24" s="21" t="s">
        <v>57</v>
      </c>
      <c r="L24" s="21" t="s">
        <v>57</v>
      </c>
      <c r="M24" s="21"/>
      <c r="N24" s="21" t="s">
        <v>57</v>
      </c>
      <c r="O24" s="21" t="s">
        <v>57</v>
      </c>
      <c r="P24" s="21" t="s">
        <v>57</v>
      </c>
      <c r="Q24" s="21"/>
      <c r="R24" s="21" t="s">
        <v>57</v>
      </c>
      <c r="S24" s="21" t="s">
        <v>57</v>
      </c>
      <c r="T24" s="21" t="s">
        <v>57</v>
      </c>
      <c r="U24" s="21" t="s">
        <v>57</v>
      </c>
      <c r="V24" s="21" t="s">
        <v>57</v>
      </c>
      <c r="W24" s="21"/>
      <c r="X24" s="21" t="s">
        <v>57</v>
      </c>
      <c r="Y24" s="21" t="s">
        <v>57</v>
      </c>
      <c r="Z24" s="21" t="s">
        <v>57</v>
      </c>
      <c r="AA24" s="21" t="s">
        <v>57</v>
      </c>
      <c r="AB24" s="21" t="s">
        <v>57</v>
      </c>
      <c r="AC24" s="21"/>
      <c r="AD24" s="21"/>
    </row>
    <row r="25" spans="1:30" x14ac:dyDescent="0.2">
      <c r="A25" s="18"/>
      <c r="D25" s="19">
        <f t="shared" ref="D25:AB25" si="0">SUM(D20:D23)</f>
        <v>146313.28</v>
      </c>
      <c r="E25" s="19">
        <f t="shared" si="0"/>
        <v>2264.7312599999996</v>
      </c>
      <c r="F25" s="19">
        <f t="shared" si="0"/>
        <v>0</v>
      </c>
      <c r="G25" s="19"/>
      <c r="H25" s="19">
        <f t="shared" si="0"/>
        <v>2264.7310000000002</v>
      </c>
      <c r="I25" s="19">
        <f t="shared" si="0"/>
        <v>0</v>
      </c>
      <c r="J25" s="19">
        <f t="shared" si="0"/>
        <v>0</v>
      </c>
      <c r="K25" s="19">
        <f t="shared" si="0"/>
        <v>0</v>
      </c>
      <c r="L25" s="19">
        <f t="shared" si="0"/>
        <v>0</v>
      </c>
      <c r="M25" s="19"/>
      <c r="N25" s="19">
        <f t="shared" si="0"/>
        <v>2264.7312599999996</v>
      </c>
      <c r="O25" s="19">
        <f t="shared" si="0"/>
        <v>0</v>
      </c>
      <c r="P25" s="19">
        <f t="shared" si="0"/>
        <v>0</v>
      </c>
      <c r="Q25" s="19"/>
      <c r="R25" s="19">
        <f t="shared" si="0"/>
        <v>0</v>
      </c>
      <c r="S25" s="19">
        <f t="shared" si="0"/>
        <v>0</v>
      </c>
      <c r="T25" s="19">
        <f t="shared" si="0"/>
        <v>0</v>
      </c>
      <c r="U25" s="19">
        <f t="shared" si="0"/>
        <v>0</v>
      </c>
      <c r="V25" s="19">
        <f t="shared" si="0"/>
        <v>0</v>
      </c>
      <c r="W25" s="19"/>
      <c r="X25" s="19">
        <f t="shared" si="0"/>
        <v>0</v>
      </c>
      <c r="Y25" s="19">
        <f t="shared" si="0"/>
        <v>2264.7310000000002</v>
      </c>
      <c r="Z25" s="19">
        <f t="shared" si="0"/>
        <v>144048.549</v>
      </c>
      <c r="AA25" s="19">
        <f t="shared" si="0"/>
        <v>2264.7312599999996</v>
      </c>
      <c r="AB25" s="19">
        <f t="shared" si="0"/>
        <v>144048.55043999999</v>
      </c>
      <c r="AC25" s="19"/>
      <c r="AD25" s="19"/>
    </row>
    <row r="26" spans="1:30" x14ac:dyDescent="0.2">
      <c r="A26" s="18"/>
      <c r="B26" s="3" t="str">
        <f>+B18</f>
        <v>ILOCOS NORTE</v>
      </c>
      <c r="D26" s="21" t="s">
        <v>57</v>
      </c>
      <c r="E26" s="21" t="s">
        <v>57</v>
      </c>
      <c r="F26" s="21" t="s">
        <v>57</v>
      </c>
      <c r="G26" s="21"/>
      <c r="H26" s="21" t="s">
        <v>57</v>
      </c>
      <c r="I26" s="21" t="s">
        <v>57</v>
      </c>
      <c r="J26" s="21" t="s">
        <v>57</v>
      </c>
      <c r="K26" s="21" t="s">
        <v>57</v>
      </c>
      <c r="L26" s="21" t="s">
        <v>57</v>
      </c>
      <c r="M26" s="21"/>
      <c r="N26" s="21" t="s">
        <v>57</v>
      </c>
      <c r="O26" s="21" t="s">
        <v>57</v>
      </c>
      <c r="P26" s="21" t="s">
        <v>57</v>
      </c>
      <c r="Q26" s="21"/>
      <c r="R26" s="21" t="s">
        <v>57</v>
      </c>
      <c r="S26" s="21" t="s">
        <v>57</v>
      </c>
      <c r="T26" s="21" t="s">
        <v>57</v>
      </c>
      <c r="U26" s="21" t="s">
        <v>57</v>
      </c>
      <c r="V26" s="21" t="s">
        <v>57</v>
      </c>
      <c r="W26" s="21"/>
      <c r="X26" s="21" t="s">
        <v>57</v>
      </c>
      <c r="Y26" s="21" t="s">
        <v>57</v>
      </c>
      <c r="Z26" s="21" t="s">
        <v>57</v>
      </c>
      <c r="AA26" s="21" t="s">
        <v>57</v>
      </c>
      <c r="AB26" s="21" t="s">
        <v>57</v>
      </c>
      <c r="AC26" s="21"/>
      <c r="AD26" s="21"/>
    </row>
    <row r="27" spans="1:30" ht="15.75" thickBot="1" x14ac:dyDescent="0.25">
      <c r="A27" s="18"/>
      <c r="B27" s="22" t="s">
        <v>58</v>
      </c>
      <c r="D27" s="24">
        <f>376846/1000</f>
        <v>376.846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4">
        <f>376846/1000</f>
        <v>376.846</v>
      </c>
      <c r="S27" s="21"/>
      <c r="T27" s="21"/>
      <c r="U27" s="21"/>
      <c r="V27" s="21"/>
      <c r="W27" s="21"/>
      <c r="X27" s="21"/>
      <c r="Y27" s="24">
        <f>376846/1000</f>
        <v>376.846</v>
      </c>
      <c r="Z27" s="24">
        <f>+D27-R27</f>
        <v>0</v>
      </c>
      <c r="AA27" s="21"/>
      <c r="AB27" s="21"/>
      <c r="AC27" s="21"/>
      <c r="AD27" s="21"/>
    </row>
    <row r="28" spans="1:30" ht="15.75" thickTop="1" x14ac:dyDescent="0.2">
      <c r="A28" s="18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x14ac:dyDescent="0.2">
      <c r="A29" s="18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x14ac:dyDescent="0.2">
      <c r="A30" s="18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x14ac:dyDescent="0.2">
      <c r="A31" s="18">
        <v>3</v>
      </c>
      <c r="B31" s="17" t="s">
        <v>60</v>
      </c>
      <c r="C31" s="17" t="s">
        <v>51</v>
      </c>
      <c r="D31" s="19">
        <f>66353447.54/1000</f>
        <v>66353.447539999994</v>
      </c>
      <c r="E31" s="19">
        <f>[1]TOBEPAID!E30/1000</f>
        <v>0</v>
      </c>
      <c r="F31" s="19">
        <f>[1]TOBEPAID!F30/1000</f>
        <v>0</v>
      </c>
      <c r="G31" s="19">
        <f>[1]TOBEPAID!G30/1000</f>
        <v>0</v>
      </c>
      <c r="H31" s="19">
        <f>65635364/1000</f>
        <v>65635.364000000001</v>
      </c>
      <c r="I31" s="19">
        <f>[1]TOBEPAID!I30/1000</f>
        <v>0</v>
      </c>
      <c r="J31" s="19">
        <f>[1]TOBEPAID!J30/1000</f>
        <v>0</v>
      </c>
      <c r="K31" s="19">
        <f>[1]TOBEPAID!K30/1000</f>
        <v>0</v>
      </c>
      <c r="L31" s="19">
        <f>[1]TOBEPAID!L30/1000</f>
        <v>0</v>
      </c>
      <c r="M31" s="19">
        <f>[1]TOBEPAID!M30/1000</f>
        <v>0</v>
      </c>
      <c r="N31" s="19">
        <f>[1]TOBEPAID!N30/1000</f>
        <v>0</v>
      </c>
      <c r="O31" s="19">
        <f>[1]TOBEPAID!O30/1000</f>
        <v>194.94681</v>
      </c>
      <c r="P31" s="19">
        <f>[1]TOBEPAID!P30/1000</f>
        <v>522.8424</v>
      </c>
      <c r="Q31" s="19">
        <f>[1]TOBEPAID!Q30/1000</f>
        <v>0</v>
      </c>
      <c r="R31" s="19">
        <f>718053/1000</f>
        <v>718.053</v>
      </c>
      <c r="S31" s="19">
        <f>[1]TOBEPAID!S30/1000</f>
        <v>0</v>
      </c>
      <c r="T31" s="19">
        <f>[1]TOBEPAID!T30/1000</f>
        <v>0</v>
      </c>
      <c r="U31" s="19">
        <f>[1]TOBEPAID!U30/1000</f>
        <v>0</v>
      </c>
      <c r="V31" s="19">
        <f>[1]TOBEPAID!V30/1000</f>
        <v>0</v>
      </c>
      <c r="W31" s="19">
        <f>[1]TOBEPAID!W30/1000</f>
        <v>0</v>
      </c>
      <c r="X31" s="19">
        <f>[1]TOBEPAID!X30/1000</f>
        <v>717.78920999999991</v>
      </c>
      <c r="Y31" s="19">
        <f>+H31+R31</f>
        <v>66353.417000000001</v>
      </c>
      <c r="Z31" s="19">
        <f>+D31-Y31</f>
        <v>3.0539999992470257E-2</v>
      </c>
      <c r="AA31" s="19">
        <f>[1]TOBEPAID!AA30/1000</f>
        <v>717.78920999999991</v>
      </c>
      <c r="AB31" s="19">
        <f>[1]TOBEPAID!AB30/1000</f>
        <v>18817.672069999997</v>
      </c>
      <c r="AC31" s="19"/>
      <c r="AD31" s="19"/>
    </row>
    <row r="32" spans="1:30" x14ac:dyDescent="0.2">
      <c r="A32" s="18"/>
      <c r="C32" s="20" t="s">
        <v>52</v>
      </c>
      <c r="D32" s="19">
        <f>1714794/1000</f>
        <v>1714.7940000000001</v>
      </c>
      <c r="E32" s="19">
        <f>[1]TOBEPAID!E31/1000</f>
        <v>1714.79459</v>
      </c>
      <c r="F32" s="19">
        <f>[1]TOBEPAID!F31/1000</f>
        <v>0</v>
      </c>
      <c r="G32" s="19">
        <f>[1]TOBEPAID!G31/1000</f>
        <v>0</v>
      </c>
      <c r="H32" s="19">
        <f>1714794/1000</f>
        <v>1714.7940000000001</v>
      </c>
      <c r="I32" s="19">
        <f>[1]TOBEPAID!I31/1000</f>
        <v>0</v>
      </c>
      <c r="J32" s="19">
        <f>[1]TOBEPAID!J31/1000</f>
        <v>0</v>
      </c>
      <c r="K32" s="19">
        <f>[1]TOBEPAID!K31/1000</f>
        <v>0</v>
      </c>
      <c r="L32" s="19">
        <f>[1]TOBEPAID!L31/1000</f>
        <v>0</v>
      </c>
      <c r="M32" s="19">
        <f>[1]TOBEPAID!M31/1000</f>
        <v>0</v>
      </c>
      <c r="N32" s="19">
        <f>[1]TOBEPAID!N31/1000</f>
        <v>1714.79459</v>
      </c>
      <c r="O32" s="19">
        <f>[1]TOBEPAID!O31/1000</f>
        <v>0</v>
      </c>
      <c r="P32" s="19">
        <f>[1]TOBEPAID!P31/1000</f>
        <v>0</v>
      </c>
      <c r="Q32" s="19">
        <f>[1]TOBEPAID!Q31/1000</f>
        <v>0</v>
      </c>
      <c r="R32" s="19">
        <v>0</v>
      </c>
      <c r="S32" s="19">
        <f>[1]TOBEPAID!S31/1000</f>
        <v>0</v>
      </c>
      <c r="T32" s="19">
        <f>[1]TOBEPAID!T31/1000</f>
        <v>0</v>
      </c>
      <c r="U32" s="19">
        <f>[1]TOBEPAID!U31/1000</f>
        <v>0</v>
      </c>
      <c r="V32" s="19">
        <f>[1]TOBEPAID!V31/1000</f>
        <v>0</v>
      </c>
      <c r="W32" s="19">
        <f>[1]TOBEPAID!W31/1000</f>
        <v>0</v>
      </c>
      <c r="X32" s="19">
        <f>[1]TOBEPAID!X31/1000</f>
        <v>0</v>
      </c>
      <c r="Y32" s="19">
        <f t="shared" ref="Y32:Y45" si="1">+H32+R32</f>
        <v>1714.7940000000001</v>
      </c>
      <c r="Z32" s="19">
        <f t="shared" ref="Z32:Z45" si="2">+D32-Y32</f>
        <v>0</v>
      </c>
      <c r="AA32" s="19">
        <f>[1]TOBEPAID!AA31/1000</f>
        <v>1714.79459</v>
      </c>
      <c r="AB32" s="19">
        <f>[1]TOBEPAID!AB31/1000</f>
        <v>0</v>
      </c>
      <c r="AC32" s="19"/>
      <c r="AD32" s="19"/>
    </row>
    <row r="33" spans="1:45" x14ac:dyDescent="0.2">
      <c r="A33" s="18"/>
      <c r="C33" s="20" t="s">
        <v>61</v>
      </c>
      <c r="D33" s="19">
        <f>1763926/1000</f>
        <v>1763.9259999999999</v>
      </c>
      <c r="E33" s="19">
        <f>[1]TOBEPAID!E32/1000</f>
        <v>1763.9260200000001</v>
      </c>
      <c r="F33" s="19">
        <f>[1]TOBEPAID!F32/1000</f>
        <v>0</v>
      </c>
      <c r="G33" s="19">
        <f>[1]TOBEPAID!G32/1000</f>
        <v>0</v>
      </c>
      <c r="H33" s="19">
        <f>1763926/1000</f>
        <v>1763.9259999999999</v>
      </c>
      <c r="I33" s="19">
        <f>[1]TOBEPAID!I32/1000</f>
        <v>0</v>
      </c>
      <c r="J33" s="19">
        <f>[1]TOBEPAID!J32/1000</f>
        <v>0</v>
      </c>
      <c r="K33" s="19">
        <f>[1]TOBEPAID!K32/1000</f>
        <v>0</v>
      </c>
      <c r="L33" s="19">
        <f>[1]TOBEPAID!L32/1000</f>
        <v>0</v>
      </c>
      <c r="M33" s="19">
        <f>[1]TOBEPAID!M32/1000</f>
        <v>0</v>
      </c>
      <c r="N33" s="19">
        <f>[1]TOBEPAID!N32/1000</f>
        <v>1763.9260200000001</v>
      </c>
      <c r="O33" s="19">
        <f>[1]TOBEPAID!O32/1000</f>
        <v>0</v>
      </c>
      <c r="P33" s="19">
        <f>[1]TOBEPAID!P32/1000</f>
        <v>0</v>
      </c>
      <c r="Q33" s="19">
        <f>[1]TOBEPAID!Q32/1000</f>
        <v>0</v>
      </c>
      <c r="R33" s="19">
        <v>0</v>
      </c>
      <c r="S33" s="19">
        <f>[1]TOBEPAID!S32/1000</f>
        <v>0</v>
      </c>
      <c r="T33" s="19">
        <f>[1]TOBEPAID!T32/1000</f>
        <v>0</v>
      </c>
      <c r="U33" s="19">
        <f>[1]TOBEPAID!U32/1000</f>
        <v>0</v>
      </c>
      <c r="V33" s="19">
        <f>[1]TOBEPAID!V32/1000</f>
        <v>0</v>
      </c>
      <c r="W33" s="19">
        <f>[1]TOBEPAID!W32/1000</f>
        <v>0</v>
      </c>
      <c r="X33" s="19">
        <f>[1]TOBEPAID!X32/1000</f>
        <v>0</v>
      </c>
      <c r="Y33" s="19">
        <f t="shared" si="1"/>
        <v>1763.9259999999999</v>
      </c>
      <c r="Z33" s="19">
        <f t="shared" si="2"/>
        <v>0</v>
      </c>
      <c r="AA33" s="19">
        <f>[1]TOBEPAID!AA32/1000</f>
        <v>1763.9260200000001</v>
      </c>
      <c r="AB33" s="19">
        <f>[1]TOBEPAID!AB32/1000</f>
        <v>0</v>
      </c>
      <c r="AC33" s="19"/>
      <c r="AD33" s="19"/>
    </row>
    <row r="34" spans="1:45" x14ac:dyDescent="0.2">
      <c r="C34" s="3" t="s">
        <v>62</v>
      </c>
      <c r="D34" s="19">
        <f>5589954/1000</f>
        <v>5589.9539999999997</v>
      </c>
      <c r="E34" s="19">
        <f>[1]TOBEPAID!E33/1000</f>
        <v>5589.9542499999998</v>
      </c>
      <c r="F34" s="19">
        <f>[1]TOBEPAID!F33/1000</f>
        <v>0</v>
      </c>
      <c r="G34" s="19">
        <f>[1]TOBEPAID!G33/1000</f>
        <v>0</v>
      </c>
      <c r="H34" s="19">
        <f>5589954/1000</f>
        <v>5589.9539999999997</v>
      </c>
      <c r="I34" s="19">
        <f>[1]TOBEPAID!I33/1000</f>
        <v>0</v>
      </c>
      <c r="J34" s="19">
        <f>[1]TOBEPAID!J33/1000</f>
        <v>0</v>
      </c>
      <c r="K34" s="19">
        <f>[1]TOBEPAID!K33/1000</f>
        <v>0</v>
      </c>
      <c r="L34" s="19">
        <f>[1]TOBEPAID!L33/1000</f>
        <v>0</v>
      </c>
      <c r="M34" s="19">
        <f>[1]TOBEPAID!M33/1000</f>
        <v>0</v>
      </c>
      <c r="N34" s="19">
        <f>[1]TOBEPAID!N33/1000</f>
        <v>5589.9542499999998</v>
      </c>
      <c r="O34" s="19">
        <f>[1]TOBEPAID!O33/1000</f>
        <v>0</v>
      </c>
      <c r="P34" s="19">
        <f>[1]TOBEPAID!P33/1000</f>
        <v>0</v>
      </c>
      <c r="Q34" s="19">
        <f>[1]TOBEPAID!Q33/1000</f>
        <v>0</v>
      </c>
      <c r="R34" s="19">
        <v>0</v>
      </c>
      <c r="S34" s="19">
        <f>[1]TOBEPAID!S33/1000</f>
        <v>0</v>
      </c>
      <c r="T34" s="19">
        <f>[1]TOBEPAID!T33/1000</f>
        <v>0</v>
      </c>
      <c r="U34" s="19">
        <f>[1]TOBEPAID!U33/1000</f>
        <v>0</v>
      </c>
      <c r="V34" s="19">
        <f>[1]TOBEPAID!V33/1000</f>
        <v>0</v>
      </c>
      <c r="W34" s="19">
        <f>[1]TOBEPAID!W33/1000</f>
        <v>0</v>
      </c>
      <c r="X34" s="19">
        <f>[1]TOBEPAID!X33/1000</f>
        <v>0</v>
      </c>
      <c r="Y34" s="19">
        <f t="shared" si="1"/>
        <v>5589.9539999999997</v>
      </c>
      <c r="Z34" s="19">
        <f t="shared" si="2"/>
        <v>0</v>
      </c>
      <c r="AA34" s="19">
        <f>[1]TOBEPAID!AA33/1000</f>
        <v>5589.9542499999998</v>
      </c>
      <c r="AB34" s="19">
        <f>[1]TOBEPAID!AB33/1000</f>
        <v>0</v>
      </c>
      <c r="AC34" s="19"/>
      <c r="AD34" s="19"/>
    </row>
    <row r="35" spans="1:45" x14ac:dyDescent="0.2">
      <c r="C35" s="3" t="s">
        <v>63</v>
      </c>
      <c r="D35" s="19">
        <f>12000000/1000</f>
        <v>12000</v>
      </c>
      <c r="E35" s="19"/>
      <c r="F35" s="19"/>
      <c r="G35" s="19"/>
      <c r="H35" s="19">
        <f>12000000/1000</f>
        <v>12000</v>
      </c>
      <c r="I35" s="19"/>
      <c r="J35" s="19"/>
      <c r="K35" s="19"/>
      <c r="L35" s="19"/>
      <c r="M35" s="19"/>
      <c r="N35" s="19"/>
      <c r="O35" s="19"/>
      <c r="P35" s="19"/>
      <c r="Q35" s="19"/>
      <c r="R35" s="19">
        <v>0</v>
      </c>
      <c r="S35" s="19"/>
      <c r="T35" s="19"/>
      <c r="U35" s="19"/>
      <c r="V35" s="19"/>
      <c r="W35" s="19"/>
      <c r="X35" s="19"/>
      <c r="Y35" s="19">
        <f>+H35+R35</f>
        <v>12000</v>
      </c>
      <c r="Z35" s="19">
        <f>+D35-Y35</f>
        <v>0</v>
      </c>
      <c r="AA35" s="19"/>
      <c r="AB35" s="19"/>
      <c r="AC35" s="19"/>
      <c r="AD35" s="19"/>
    </row>
    <row r="36" spans="1:45" x14ac:dyDescent="0.2">
      <c r="C36" s="3" t="s">
        <v>64</v>
      </c>
      <c r="D36" s="19">
        <f>24000000/1000</f>
        <v>24000</v>
      </c>
      <c r="E36" s="19"/>
      <c r="F36" s="19"/>
      <c r="G36" s="19"/>
      <c r="H36" s="19">
        <f>24000000/1000</f>
        <v>24000</v>
      </c>
      <c r="I36" s="19"/>
      <c r="J36" s="19"/>
      <c r="K36" s="19"/>
      <c r="L36" s="19"/>
      <c r="M36" s="19"/>
      <c r="N36" s="19"/>
      <c r="O36" s="19"/>
      <c r="P36" s="19"/>
      <c r="Q36" s="19"/>
      <c r="R36" s="19">
        <v>0</v>
      </c>
      <c r="S36" s="19"/>
      <c r="T36" s="19"/>
      <c r="U36" s="19"/>
      <c r="V36" s="19"/>
      <c r="W36" s="19"/>
      <c r="X36" s="19"/>
      <c r="Y36" s="19">
        <f>+H36+R36</f>
        <v>24000</v>
      </c>
      <c r="Z36" s="19">
        <f>+D36-Y36</f>
        <v>0</v>
      </c>
      <c r="AA36" s="19"/>
      <c r="AB36" s="19"/>
      <c r="AC36" s="19"/>
      <c r="AD36" s="19"/>
    </row>
    <row r="37" spans="1:45" x14ac:dyDescent="0.2">
      <c r="C37" s="3" t="s">
        <v>65</v>
      </c>
      <c r="D37" s="19">
        <f>12450000/1000</f>
        <v>12450</v>
      </c>
      <c r="E37" s="19"/>
      <c r="F37" s="19"/>
      <c r="G37" s="19"/>
      <c r="H37" s="19">
        <f>12450000/1000</f>
        <v>12450</v>
      </c>
      <c r="I37" s="19"/>
      <c r="J37" s="19"/>
      <c r="K37" s="19"/>
      <c r="L37" s="19"/>
      <c r="M37" s="19"/>
      <c r="N37" s="19"/>
      <c r="O37" s="19"/>
      <c r="P37" s="19"/>
      <c r="Q37" s="19"/>
      <c r="R37" s="19">
        <v>0</v>
      </c>
      <c r="S37" s="19"/>
      <c r="T37" s="19"/>
      <c r="U37" s="19"/>
      <c r="V37" s="19"/>
      <c r="W37" s="19"/>
      <c r="X37" s="19"/>
      <c r="Y37" s="19">
        <f>+H37+R37</f>
        <v>12450</v>
      </c>
      <c r="Z37" s="19">
        <f>+D37-Y37</f>
        <v>0</v>
      </c>
      <c r="AA37" s="19"/>
      <c r="AB37" s="19"/>
      <c r="AC37" s="19"/>
      <c r="AD37" s="19"/>
    </row>
    <row r="38" spans="1:45" x14ac:dyDescent="0.2">
      <c r="C38" s="3" t="s">
        <v>66</v>
      </c>
      <c r="D38" s="19">
        <f>15000000/1000</f>
        <v>15000</v>
      </c>
      <c r="E38" s="19"/>
      <c r="F38" s="19"/>
      <c r="G38" s="19"/>
      <c r="H38" s="19">
        <f>15000000/1000</f>
        <v>15000</v>
      </c>
      <c r="I38" s="19"/>
      <c r="J38" s="19"/>
      <c r="K38" s="19"/>
      <c r="L38" s="19"/>
      <c r="M38" s="19"/>
      <c r="N38" s="19"/>
      <c r="O38" s="19"/>
      <c r="P38" s="19"/>
      <c r="Q38" s="19"/>
      <c r="R38" s="19">
        <v>0</v>
      </c>
      <c r="S38" s="19"/>
      <c r="T38" s="19"/>
      <c r="U38" s="19"/>
      <c r="V38" s="19"/>
      <c r="W38" s="19"/>
      <c r="X38" s="19"/>
      <c r="Y38" s="19">
        <f>+H38+R38</f>
        <v>15000</v>
      </c>
      <c r="Z38" s="19">
        <f>+D38-Y38</f>
        <v>0</v>
      </c>
      <c r="AA38" s="19"/>
      <c r="AB38" s="19"/>
      <c r="AC38" s="19"/>
      <c r="AD38" s="19"/>
    </row>
    <row r="39" spans="1:45" x14ac:dyDescent="0.2">
      <c r="C39" s="3" t="s">
        <v>67</v>
      </c>
      <c r="D39" s="3">
        <f>2669883279.76/1000</f>
        <v>2669883.2797600003</v>
      </c>
      <c r="H39" s="3">
        <f>2669883279.76/1000</f>
        <v>2669883.2797600003</v>
      </c>
      <c r="R39" s="19">
        <v>0</v>
      </c>
      <c r="Y39" s="19">
        <f t="shared" si="1"/>
        <v>2669883.2797600003</v>
      </c>
      <c r="Z39" s="19">
        <f t="shared" si="2"/>
        <v>0</v>
      </c>
    </row>
    <row r="40" spans="1:45" x14ac:dyDescent="0.2">
      <c r="C40" s="3" t="s">
        <v>68</v>
      </c>
      <c r="D40" s="3">
        <f>17858584/1000</f>
        <v>17858.583999999999</v>
      </c>
      <c r="H40" s="3">
        <f>17858584/1000</f>
        <v>17858.583999999999</v>
      </c>
      <c r="R40" s="19">
        <v>0</v>
      </c>
      <c r="Y40" s="19">
        <f t="shared" si="1"/>
        <v>17858.583999999999</v>
      </c>
      <c r="Z40" s="19">
        <f t="shared" si="2"/>
        <v>0</v>
      </c>
    </row>
    <row r="41" spans="1:45" x14ac:dyDescent="0.2">
      <c r="C41" s="3" t="s">
        <v>69</v>
      </c>
      <c r="D41" s="3">
        <f>15024182/1000</f>
        <v>15024.182000000001</v>
      </c>
      <c r="H41" s="3">
        <f>15024182/1000</f>
        <v>15024.182000000001</v>
      </c>
      <c r="R41" s="19">
        <v>0</v>
      </c>
      <c r="Y41" s="19">
        <f t="shared" si="1"/>
        <v>15024.182000000001</v>
      </c>
      <c r="Z41" s="19">
        <f t="shared" si="2"/>
        <v>0</v>
      </c>
    </row>
    <row r="42" spans="1:45" x14ac:dyDescent="0.2">
      <c r="A42" s="18"/>
      <c r="C42" s="20" t="s">
        <v>70</v>
      </c>
      <c r="D42" s="19">
        <f>8704000/1000</f>
        <v>8704</v>
      </c>
      <c r="E42" s="19">
        <f>[1]TOBEPAID!E34/1000</f>
        <v>8704</v>
      </c>
      <c r="F42" s="19">
        <f>[1]TOBEPAID!F34/1000</f>
        <v>0</v>
      </c>
      <c r="G42" s="19">
        <f>[1]TOBEPAID!G34/1000</f>
        <v>0</v>
      </c>
      <c r="H42" s="19">
        <f>8704000/1000</f>
        <v>8704</v>
      </c>
      <c r="I42" s="19">
        <f>[1]TOBEPAID!I34/1000</f>
        <v>0</v>
      </c>
      <c r="J42" s="19">
        <f>[1]TOBEPAID!J34/1000</f>
        <v>0</v>
      </c>
      <c r="K42" s="19">
        <f>[1]TOBEPAID!K34/1000</f>
        <v>0</v>
      </c>
      <c r="L42" s="19">
        <f>[1]TOBEPAID!L34/1000</f>
        <v>0</v>
      </c>
      <c r="M42" s="19">
        <f>[1]TOBEPAID!M34/1000</f>
        <v>0</v>
      </c>
      <c r="N42" s="19">
        <f>[1]TOBEPAID!N34/1000</f>
        <v>8704</v>
      </c>
      <c r="O42" s="19">
        <f>[1]TOBEPAID!O34/1000</f>
        <v>0</v>
      </c>
      <c r="P42" s="19">
        <f>[1]TOBEPAID!P34/1000</f>
        <v>0</v>
      </c>
      <c r="Q42" s="19">
        <f>[1]TOBEPAID!Q34/1000</f>
        <v>0</v>
      </c>
      <c r="R42" s="19">
        <v>0</v>
      </c>
      <c r="S42" s="19">
        <f>[1]TOBEPAID!S34/1000</f>
        <v>0</v>
      </c>
      <c r="T42" s="19">
        <f>[1]TOBEPAID!T34/1000</f>
        <v>0</v>
      </c>
      <c r="U42" s="19">
        <f>[1]TOBEPAID!U34/1000</f>
        <v>0</v>
      </c>
      <c r="V42" s="19">
        <f>[1]TOBEPAID!V34/1000</f>
        <v>0</v>
      </c>
      <c r="W42" s="19">
        <f>[1]TOBEPAID!W34/1000</f>
        <v>0</v>
      </c>
      <c r="X42" s="19">
        <f>[1]TOBEPAID!X34/1000</f>
        <v>0</v>
      </c>
      <c r="Y42" s="19">
        <f t="shared" si="1"/>
        <v>8704</v>
      </c>
      <c r="Z42" s="19">
        <f t="shared" si="2"/>
        <v>0</v>
      </c>
      <c r="AA42" s="19">
        <f>[1]TOBEPAID!AA34/1000</f>
        <v>8704</v>
      </c>
      <c r="AB42" s="19">
        <f>[1]TOBEPAID!AB34/1000</f>
        <v>0</v>
      </c>
      <c r="AC42" s="19"/>
      <c r="AD42" s="19"/>
    </row>
    <row r="43" spans="1:45" x14ac:dyDescent="0.2">
      <c r="A43" s="18"/>
      <c r="C43" s="17" t="s">
        <v>54</v>
      </c>
      <c r="D43" s="19">
        <v>0</v>
      </c>
      <c r="E43" s="19">
        <f>[1]TOBEPAID!E35/1000</f>
        <v>0</v>
      </c>
      <c r="F43" s="19">
        <f>[1]TOBEPAID!F35/1000</f>
        <v>0</v>
      </c>
      <c r="G43" s="19">
        <f>[1]TOBEPAID!G35/1000</f>
        <v>0</v>
      </c>
      <c r="H43" s="19">
        <v>0</v>
      </c>
      <c r="I43" s="19">
        <f>[1]TOBEPAID!I35/1000</f>
        <v>0</v>
      </c>
      <c r="J43" s="19">
        <f>[1]TOBEPAID!J35/1000</f>
        <v>0</v>
      </c>
      <c r="K43" s="19">
        <f>[1]TOBEPAID!K35/1000</f>
        <v>0</v>
      </c>
      <c r="L43" s="19">
        <f>[1]TOBEPAID!L35/1000</f>
        <v>0</v>
      </c>
      <c r="M43" s="19">
        <f>[1]TOBEPAID!M35/1000</f>
        <v>0</v>
      </c>
      <c r="N43" s="19">
        <f>[1]TOBEPAID!N35/1000</f>
        <v>0</v>
      </c>
      <c r="O43" s="19">
        <f>[1]TOBEPAID!O35/1000</f>
        <v>0</v>
      </c>
      <c r="P43" s="19">
        <f>[1]TOBEPAID!P35/1000</f>
        <v>0</v>
      </c>
      <c r="Q43" s="19">
        <f>[1]TOBEPAID!Q35/1000</f>
        <v>0</v>
      </c>
      <c r="R43" s="19">
        <v>0</v>
      </c>
      <c r="S43" s="19">
        <f>[1]TOBEPAID!S35/1000</f>
        <v>0</v>
      </c>
      <c r="T43" s="19">
        <f>[1]TOBEPAID!T35/1000</f>
        <v>0</v>
      </c>
      <c r="U43" s="19">
        <f>[1]TOBEPAID!U35/1000</f>
        <v>0</v>
      </c>
      <c r="V43" s="19">
        <f>[1]TOBEPAID!V35/1000</f>
        <v>0</v>
      </c>
      <c r="W43" s="19">
        <f>[1]TOBEPAID!W35/1000</f>
        <v>0</v>
      </c>
      <c r="X43" s="19">
        <f>[1]TOBEPAID!X35/1000</f>
        <v>0</v>
      </c>
      <c r="Y43" s="19">
        <f t="shared" si="1"/>
        <v>0</v>
      </c>
      <c r="Z43" s="19">
        <f t="shared" si="2"/>
        <v>0</v>
      </c>
      <c r="AA43" s="19">
        <f>[1]TOBEPAID!AA35/1000</f>
        <v>0</v>
      </c>
      <c r="AB43" s="19">
        <f>[1]TOBEPAID!AB35/1000</f>
        <v>22797.780879999998</v>
      </c>
      <c r="AC43" s="19"/>
      <c r="AD43" s="19"/>
    </row>
    <row r="44" spans="1:45" x14ac:dyDescent="0.2">
      <c r="A44" s="18"/>
      <c r="C44" s="17" t="s">
        <v>55</v>
      </c>
      <c r="D44" s="19">
        <v>0</v>
      </c>
      <c r="E44" s="19">
        <f>[1]TOBEPAID!E36/1000</f>
        <v>0</v>
      </c>
      <c r="F44" s="19">
        <f>[1]TOBEPAID!F36/1000</f>
        <v>0</v>
      </c>
      <c r="G44" s="19">
        <f>[1]TOBEPAID!G36/1000</f>
        <v>0</v>
      </c>
      <c r="H44" s="19">
        <v>0</v>
      </c>
      <c r="I44" s="19">
        <f>[1]TOBEPAID!I36/1000</f>
        <v>0</v>
      </c>
      <c r="J44" s="19">
        <f>[1]TOBEPAID!J36/1000</f>
        <v>0</v>
      </c>
      <c r="K44" s="19">
        <f>[1]TOBEPAID!K36/1000</f>
        <v>0</v>
      </c>
      <c r="L44" s="19">
        <f>[1]TOBEPAID!L36/1000</f>
        <v>0</v>
      </c>
      <c r="M44" s="19">
        <f>[1]TOBEPAID!M36/1000</f>
        <v>0</v>
      </c>
      <c r="N44" s="19">
        <f>[1]TOBEPAID!N36/1000</f>
        <v>0</v>
      </c>
      <c r="O44" s="19">
        <f>[1]TOBEPAID!O36/1000</f>
        <v>0</v>
      </c>
      <c r="P44" s="19">
        <f>[1]TOBEPAID!P36/1000</f>
        <v>0</v>
      </c>
      <c r="Q44" s="19">
        <f>[1]TOBEPAID!Q36/1000</f>
        <v>0</v>
      </c>
      <c r="R44" s="19">
        <v>0</v>
      </c>
      <c r="S44" s="19">
        <f>[1]TOBEPAID!S36/1000</f>
        <v>0</v>
      </c>
      <c r="T44" s="19">
        <f>[1]TOBEPAID!T36/1000</f>
        <v>0</v>
      </c>
      <c r="U44" s="19">
        <f>[1]TOBEPAID!U36/1000</f>
        <v>0</v>
      </c>
      <c r="V44" s="19">
        <f>[1]TOBEPAID!V36/1000</f>
        <v>0</v>
      </c>
      <c r="W44" s="19">
        <f>[1]TOBEPAID!W36/1000</f>
        <v>0</v>
      </c>
      <c r="X44" s="19">
        <f>[1]TOBEPAID!X36/1000</f>
        <v>0</v>
      </c>
      <c r="Y44" s="19">
        <f t="shared" si="1"/>
        <v>0</v>
      </c>
      <c r="Z44" s="19">
        <f t="shared" si="2"/>
        <v>0</v>
      </c>
      <c r="AA44" s="19">
        <f>[1]TOBEPAID!AA36/1000</f>
        <v>0</v>
      </c>
      <c r="AB44" s="19">
        <f>[1]TOBEPAID!AB36/1000</f>
        <v>19579.16158</v>
      </c>
      <c r="AC44" s="19"/>
      <c r="AD44" s="19"/>
    </row>
    <row r="45" spans="1:45" x14ac:dyDescent="0.2">
      <c r="A45" s="18"/>
      <c r="C45" s="17" t="s">
        <v>56</v>
      </c>
      <c r="D45" s="19">
        <v>0</v>
      </c>
      <c r="E45" s="19">
        <f>[1]TOBEPAID!E37/1000</f>
        <v>0</v>
      </c>
      <c r="F45" s="19">
        <f>[1]TOBEPAID!F37/1000</f>
        <v>0</v>
      </c>
      <c r="G45" s="19">
        <f>[1]TOBEPAID!G37/1000</f>
        <v>0</v>
      </c>
      <c r="H45" s="19">
        <v>0</v>
      </c>
      <c r="I45" s="19">
        <f>[1]TOBEPAID!I37/1000</f>
        <v>0</v>
      </c>
      <c r="J45" s="19">
        <f>[1]TOBEPAID!J37/1000</f>
        <v>0</v>
      </c>
      <c r="K45" s="19">
        <f>[1]TOBEPAID!K37/1000</f>
        <v>0</v>
      </c>
      <c r="L45" s="19">
        <f>[1]TOBEPAID!L37/1000</f>
        <v>0</v>
      </c>
      <c r="M45" s="19">
        <f>[1]TOBEPAID!M37/1000</f>
        <v>0</v>
      </c>
      <c r="N45" s="19">
        <f>[1]TOBEPAID!N37/1000</f>
        <v>0</v>
      </c>
      <c r="O45" s="19">
        <f>[1]TOBEPAID!O37/1000</f>
        <v>0</v>
      </c>
      <c r="P45" s="19">
        <f>[1]TOBEPAID!P37/1000</f>
        <v>0</v>
      </c>
      <c r="Q45" s="19">
        <f>[1]TOBEPAID!Q37/1000</f>
        <v>0</v>
      </c>
      <c r="R45" s="19">
        <v>0</v>
      </c>
      <c r="S45" s="19">
        <f>[1]TOBEPAID!S37/1000</f>
        <v>0</v>
      </c>
      <c r="T45" s="19">
        <f>[1]TOBEPAID!T37/1000</f>
        <v>0</v>
      </c>
      <c r="U45" s="19">
        <f>[1]TOBEPAID!U37/1000</f>
        <v>0</v>
      </c>
      <c r="V45" s="19">
        <f>[1]TOBEPAID!V37/1000</f>
        <v>0</v>
      </c>
      <c r="W45" s="19">
        <f>[1]TOBEPAID!W37/1000</f>
        <v>0</v>
      </c>
      <c r="X45" s="19">
        <f>[1]TOBEPAID!X37/1000</f>
        <v>0</v>
      </c>
      <c r="Y45" s="19">
        <f t="shared" si="1"/>
        <v>0</v>
      </c>
      <c r="Z45" s="19">
        <f t="shared" si="2"/>
        <v>0</v>
      </c>
      <c r="AA45" s="19">
        <f>[1]TOBEPAID!AA37/1000</f>
        <v>0</v>
      </c>
      <c r="AB45" s="19">
        <f>[1]TOBEPAID!AB37/1000</f>
        <v>4441.0437999999995</v>
      </c>
      <c r="AC45" s="19"/>
      <c r="AD45" s="19"/>
    </row>
    <row r="46" spans="1:45" x14ac:dyDescent="0.2">
      <c r="A46" s="18"/>
      <c r="D46" s="21" t="s">
        <v>57</v>
      </c>
      <c r="E46" s="21" t="s">
        <v>57</v>
      </c>
      <c r="F46" s="21" t="s">
        <v>57</v>
      </c>
      <c r="G46" s="21"/>
      <c r="H46" s="21" t="s">
        <v>57</v>
      </c>
      <c r="I46" s="21" t="s">
        <v>57</v>
      </c>
      <c r="J46" s="21" t="s">
        <v>57</v>
      </c>
      <c r="K46" s="21" t="s">
        <v>57</v>
      </c>
      <c r="L46" s="21" t="s">
        <v>57</v>
      </c>
      <c r="M46" s="21"/>
      <c r="N46" s="21" t="s">
        <v>57</v>
      </c>
      <c r="O46" s="21" t="s">
        <v>57</v>
      </c>
      <c r="P46" s="21" t="s">
        <v>57</v>
      </c>
      <c r="Q46" s="21"/>
      <c r="R46" s="21" t="s">
        <v>57</v>
      </c>
      <c r="S46" s="21" t="s">
        <v>57</v>
      </c>
      <c r="T46" s="21" t="s">
        <v>57</v>
      </c>
      <c r="U46" s="21" t="s">
        <v>57</v>
      </c>
      <c r="V46" s="21" t="s">
        <v>57</v>
      </c>
      <c r="W46" s="21"/>
      <c r="X46" s="21" t="s">
        <v>57</v>
      </c>
      <c r="Y46" s="21" t="s">
        <v>57</v>
      </c>
      <c r="Z46" s="21" t="s">
        <v>57</v>
      </c>
      <c r="AA46" s="21" t="s">
        <v>57</v>
      </c>
      <c r="AB46" s="21" t="s">
        <v>57</v>
      </c>
      <c r="AC46" s="21"/>
      <c r="AD46" s="21"/>
    </row>
    <row r="47" spans="1:45" x14ac:dyDescent="0.2">
      <c r="A47" s="18"/>
      <c r="D47" s="19">
        <f>SUM(D31:D45)</f>
        <v>2850342.1673000003</v>
      </c>
      <c r="E47" s="19">
        <f>SUM(E31:E45)</f>
        <v>17772.674859999999</v>
      </c>
      <c r="F47" s="19">
        <f>SUM(F31:F45)</f>
        <v>0</v>
      </c>
      <c r="G47" s="19"/>
      <c r="H47" s="19">
        <f>SUM(H31:H45)</f>
        <v>2849624.0837600003</v>
      </c>
      <c r="I47" s="19">
        <f>SUM(I31:I45)</f>
        <v>0</v>
      </c>
      <c r="J47" s="19">
        <f>SUM(J31:J45)</f>
        <v>0</v>
      </c>
      <c r="K47" s="19">
        <f>SUM(K31:K45)</f>
        <v>0</v>
      </c>
      <c r="L47" s="19">
        <f>SUM(L31:L45)</f>
        <v>0</v>
      </c>
      <c r="M47" s="19"/>
      <c r="N47" s="19">
        <f>SUM(N31:N45)</f>
        <v>17772.674859999999</v>
      </c>
      <c r="O47" s="19">
        <f>SUM(O31:O45)</f>
        <v>194.94681</v>
      </c>
      <c r="P47" s="19">
        <f>SUM(P31:P45)</f>
        <v>522.8424</v>
      </c>
      <c r="Q47" s="19"/>
      <c r="R47" s="19">
        <f>SUM(R31:R45)</f>
        <v>718.053</v>
      </c>
      <c r="S47" s="19">
        <f>SUM(S31:S45)</f>
        <v>0</v>
      </c>
      <c r="T47" s="19">
        <f>SUM(T31:T45)</f>
        <v>0</v>
      </c>
      <c r="U47" s="19">
        <f>SUM(U31:U45)</f>
        <v>0</v>
      </c>
      <c r="V47" s="19">
        <f>SUM(V31:V45)</f>
        <v>0</v>
      </c>
      <c r="W47" s="19"/>
      <c r="X47" s="19">
        <f>SUM(X31:X45)</f>
        <v>717.78920999999991</v>
      </c>
      <c r="Y47" s="19">
        <f>SUM(Y31:Y45)</f>
        <v>2850342.1367600001</v>
      </c>
      <c r="Z47" s="19">
        <f>SUM(Z31:Z45)</f>
        <v>3.0539999992470257E-2</v>
      </c>
      <c r="AA47" s="19">
        <f>SUM(AA31:AA45)</f>
        <v>18490.464070000002</v>
      </c>
      <c r="AB47" s="19">
        <f>SUM(AB31:AB45)</f>
        <v>65635.658329999991</v>
      </c>
      <c r="AC47" s="19"/>
      <c r="AD47" s="19"/>
    </row>
    <row r="48" spans="1:45" x14ac:dyDescent="0.2">
      <c r="A48" s="18"/>
      <c r="B48" s="3" t="s">
        <v>60</v>
      </c>
      <c r="D48" s="21" t="s">
        <v>57</v>
      </c>
      <c r="E48" s="21" t="s">
        <v>57</v>
      </c>
      <c r="F48" s="21" t="s">
        <v>57</v>
      </c>
      <c r="G48" s="21"/>
      <c r="H48" s="21" t="s">
        <v>57</v>
      </c>
      <c r="I48" s="21" t="s">
        <v>57</v>
      </c>
      <c r="J48" s="21" t="s">
        <v>57</v>
      </c>
      <c r="K48" s="21" t="s">
        <v>57</v>
      </c>
      <c r="L48" s="21" t="s">
        <v>57</v>
      </c>
      <c r="M48" s="21"/>
      <c r="N48" s="21" t="s">
        <v>57</v>
      </c>
      <c r="O48" s="21" t="s">
        <v>57</v>
      </c>
      <c r="P48" s="21" t="s">
        <v>57</v>
      </c>
      <c r="Q48" s="21"/>
      <c r="R48" s="21" t="s">
        <v>57</v>
      </c>
      <c r="S48" s="21" t="s">
        <v>57</v>
      </c>
      <c r="T48" s="21" t="s">
        <v>57</v>
      </c>
      <c r="U48" s="21" t="s">
        <v>57</v>
      </c>
      <c r="V48" s="21" t="s">
        <v>57</v>
      </c>
      <c r="W48" s="21"/>
      <c r="X48" s="21" t="s">
        <v>57</v>
      </c>
      <c r="Y48" s="21" t="s">
        <v>57</v>
      </c>
      <c r="Z48" s="21" t="s">
        <v>57</v>
      </c>
      <c r="AA48" s="21" t="s">
        <v>57</v>
      </c>
      <c r="AB48" s="21" t="s">
        <v>57</v>
      </c>
      <c r="AC48" s="21"/>
      <c r="AD48" s="21"/>
      <c r="AS48" s="25"/>
    </row>
    <row r="49" spans="1:44" ht="15.75" thickBot="1" x14ac:dyDescent="0.25">
      <c r="A49" s="26"/>
      <c r="B49" s="22" t="s">
        <v>58</v>
      </c>
      <c r="C49" s="25"/>
      <c r="D49" s="23">
        <f>[1]TOBEPAID!D41/1000</f>
        <v>1024.9293500000001</v>
      </c>
      <c r="E49" s="19">
        <f>[1]TOBEPAID!E41/1000</f>
        <v>0</v>
      </c>
      <c r="F49" s="19">
        <f>[1]TOBEPAID!F41/1000</f>
        <v>0</v>
      </c>
      <c r="G49" s="19">
        <f>[1]TOBEPAID!G41/1000</f>
        <v>0</v>
      </c>
      <c r="H49" s="19"/>
      <c r="I49" s="19">
        <f>[1]TOBEPAID!I41/1000</f>
        <v>0</v>
      </c>
      <c r="J49" s="19">
        <f>[1]TOBEPAID!J41/1000</f>
        <v>0</v>
      </c>
      <c r="K49" s="19">
        <f>[1]TOBEPAID!K41/1000</f>
        <v>0</v>
      </c>
      <c r="L49" s="19">
        <f>[1]TOBEPAID!L41/1000</f>
        <v>0</v>
      </c>
      <c r="M49" s="19">
        <f>[1]TOBEPAID!M41/1000</f>
        <v>0</v>
      </c>
      <c r="N49" s="19">
        <f>[1]TOBEPAID!N41/1000</f>
        <v>0</v>
      </c>
      <c r="O49" s="19">
        <f>[1]TOBEPAID!O41/1000</f>
        <v>1024.9293500000001</v>
      </c>
      <c r="P49" s="19">
        <f>[1]TOBEPAID!P41/1000</f>
        <v>0</v>
      </c>
      <c r="Q49" s="19">
        <f>[1]TOBEPAID!Q41/1000</f>
        <v>0</v>
      </c>
      <c r="R49" s="23">
        <f>[1]TOBEPAID!R41/1000</f>
        <v>1024.9293500000001</v>
      </c>
      <c r="S49" s="23">
        <f>[1]TOBEPAID!S41/1000</f>
        <v>0</v>
      </c>
      <c r="T49" s="23">
        <f>[1]TOBEPAID!T41/1000</f>
        <v>0</v>
      </c>
      <c r="U49" s="23">
        <f>[1]TOBEPAID!U41/1000</f>
        <v>0</v>
      </c>
      <c r="V49" s="23">
        <f>[1]TOBEPAID!V41/1000</f>
        <v>0</v>
      </c>
      <c r="W49" s="23">
        <f>[1]TOBEPAID!W41/1000</f>
        <v>0</v>
      </c>
      <c r="X49" s="23">
        <f>[1]TOBEPAID!X41/1000</f>
        <v>0</v>
      </c>
      <c r="Y49" s="23">
        <f>+H49+R49</f>
        <v>1024.9293500000001</v>
      </c>
      <c r="Z49" s="23">
        <f>[1]TOBEPAID!Z41/1000</f>
        <v>0</v>
      </c>
      <c r="AA49" s="19">
        <f>[1]TOBEPAID!AA41/1000</f>
        <v>0</v>
      </c>
      <c r="AB49" s="19">
        <f>[1]TOBEPAID!AB41/1000</f>
        <v>0</v>
      </c>
      <c r="AC49" s="19"/>
      <c r="AD49" s="19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</row>
    <row r="50" spans="1:44" ht="15.75" thickTop="1" x14ac:dyDescent="0.2">
      <c r="A50" s="18">
        <v>4</v>
      </c>
      <c r="B50" s="17" t="s">
        <v>71</v>
      </c>
      <c r="C50" s="17" t="s">
        <v>51</v>
      </c>
      <c r="D50" s="19">
        <f>19316346/1000</f>
        <v>19316.346000000001</v>
      </c>
      <c r="E50" s="19">
        <f>[1]TOBEPAID!E42/1000</f>
        <v>0</v>
      </c>
      <c r="F50" s="19">
        <f>[1]TOBEPAID!F42/1000</f>
        <v>0</v>
      </c>
      <c r="G50" s="19">
        <f>[1]TOBEPAID!G42/1000</f>
        <v>0</v>
      </c>
      <c r="H50" s="19">
        <v>0</v>
      </c>
      <c r="I50" s="19">
        <f>[1]TOBEPAID!I42/1000</f>
        <v>0</v>
      </c>
      <c r="J50" s="19">
        <f>[1]TOBEPAID!J42/1000</f>
        <v>0</v>
      </c>
      <c r="K50" s="19">
        <f>[1]TOBEPAID!K42/1000</f>
        <v>0</v>
      </c>
      <c r="L50" s="19">
        <f>[1]TOBEPAID!L42/1000</f>
        <v>0</v>
      </c>
      <c r="M50" s="19">
        <f>[1]TOBEPAID!M42/1000</f>
        <v>0</v>
      </c>
      <c r="N50" s="19">
        <f>[1]TOBEPAID!N42/1000</f>
        <v>0</v>
      </c>
      <c r="O50" s="19">
        <f>[1]TOBEPAID!O42/1000</f>
        <v>181.75254999999999</v>
      </c>
      <c r="P50" s="19">
        <f>[1]TOBEPAID!P42/1000</f>
        <v>0</v>
      </c>
      <c r="Q50" s="19">
        <f>[1]TOBEPAID!Q42/1000</f>
        <v>0</v>
      </c>
      <c r="R50" s="19">
        <v>0</v>
      </c>
      <c r="S50" s="19">
        <f>[1]TOBEPAID!S42/1000</f>
        <v>39.241199999999999</v>
      </c>
      <c r="T50" s="19">
        <f>[1]TOBEPAID!T42/1000</f>
        <v>0</v>
      </c>
      <c r="U50" s="19">
        <f>[1]TOBEPAID!U42/1000</f>
        <v>0</v>
      </c>
      <c r="V50" s="19">
        <f>[1]TOBEPAID!V42/1000</f>
        <v>0</v>
      </c>
      <c r="W50" s="19">
        <f>[1]TOBEPAID!W42/1000</f>
        <v>0</v>
      </c>
      <c r="X50" s="19">
        <f>[1]TOBEPAID!X42/1000</f>
        <v>181.75254999999999</v>
      </c>
      <c r="Y50" s="19">
        <f>+H50+R50</f>
        <v>0</v>
      </c>
      <c r="Z50" s="19">
        <f>+D50-Y50</f>
        <v>19316.346000000001</v>
      </c>
      <c r="AA50" s="19">
        <f>[1]TOBEPAID!AA42/1000</f>
        <v>181.75254999999999</v>
      </c>
      <c r="AB50" s="19">
        <f>[1]TOBEPAID!AB42/1000</f>
        <v>19134.594399999998</v>
      </c>
      <c r="AC50" s="19"/>
      <c r="AD50" s="19"/>
    </row>
    <row r="51" spans="1:44" x14ac:dyDescent="0.2">
      <c r="A51" s="18"/>
      <c r="C51" s="20" t="s">
        <v>52</v>
      </c>
      <c r="D51" s="19">
        <f>1977546/1000</f>
        <v>1977.546</v>
      </c>
      <c r="E51" s="19">
        <f>[1]TOBEPAID!E43/1000</f>
        <v>1977.54691</v>
      </c>
      <c r="F51" s="19">
        <f>[1]TOBEPAID!F43/1000</f>
        <v>0</v>
      </c>
      <c r="G51" s="19">
        <f>[1]TOBEPAID!G43/1000</f>
        <v>0</v>
      </c>
      <c r="H51" s="19">
        <f>1977546/1000</f>
        <v>1977.546</v>
      </c>
      <c r="I51" s="19">
        <f>[1]TOBEPAID!I43/1000</f>
        <v>0</v>
      </c>
      <c r="J51" s="19">
        <f>[1]TOBEPAID!J43/1000</f>
        <v>0</v>
      </c>
      <c r="K51" s="19">
        <f>[1]TOBEPAID!K43/1000</f>
        <v>0</v>
      </c>
      <c r="L51" s="19">
        <f>[1]TOBEPAID!L43/1000</f>
        <v>0</v>
      </c>
      <c r="M51" s="19">
        <f>[1]TOBEPAID!M43/1000</f>
        <v>0</v>
      </c>
      <c r="N51" s="19">
        <f>[1]TOBEPAID!N43/1000</f>
        <v>1977.54691</v>
      </c>
      <c r="O51" s="19">
        <f>[1]TOBEPAID!O43/1000</f>
        <v>0</v>
      </c>
      <c r="P51" s="19">
        <f>[1]TOBEPAID!P43/1000</f>
        <v>0</v>
      </c>
      <c r="Q51" s="19">
        <f>[1]TOBEPAID!Q43/1000</f>
        <v>0</v>
      </c>
      <c r="R51" s="19">
        <v>0</v>
      </c>
      <c r="S51" s="19">
        <f>[1]TOBEPAID!S43/1000</f>
        <v>0</v>
      </c>
      <c r="T51" s="19">
        <f>[1]TOBEPAID!T43/1000</f>
        <v>0</v>
      </c>
      <c r="U51" s="19">
        <f>[1]TOBEPAID!U43/1000</f>
        <v>0</v>
      </c>
      <c r="V51" s="19">
        <f>[1]TOBEPAID!V43/1000</f>
        <v>0</v>
      </c>
      <c r="W51" s="19">
        <f>[1]TOBEPAID!W43/1000</f>
        <v>0</v>
      </c>
      <c r="X51" s="19">
        <f>[1]TOBEPAID!X43/1000</f>
        <v>0</v>
      </c>
      <c r="Y51" s="19">
        <f>+H51+R51</f>
        <v>1977.546</v>
      </c>
      <c r="Z51" s="19">
        <f>+D51-Y51</f>
        <v>0</v>
      </c>
      <c r="AA51" s="19">
        <f>[1]TOBEPAID!AA43/1000</f>
        <v>1977.54691</v>
      </c>
      <c r="AB51" s="19">
        <f>[1]TOBEPAID!AB43/1000</f>
        <v>0</v>
      </c>
      <c r="AC51" s="19"/>
      <c r="AD51" s="19"/>
    </row>
    <row r="52" spans="1:44" x14ac:dyDescent="0.2">
      <c r="C52" s="3" t="s">
        <v>72</v>
      </c>
      <c r="D52" s="19">
        <f>6975852/1000</f>
        <v>6975.8519999999999</v>
      </c>
      <c r="E52" s="19">
        <f>[1]TOBEPAID!E44/1000</f>
        <v>6975.8519999999999</v>
      </c>
      <c r="F52" s="19">
        <f>[1]TOBEPAID!F44/1000</f>
        <v>0</v>
      </c>
      <c r="G52" s="19">
        <f>[1]TOBEPAID!G44/1000</f>
        <v>0</v>
      </c>
      <c r="H52" s="19">
        <f>6975852/1000</f>
        <v>6975.8519999999999</v>
      </c>
      <c r="I52" s="19">
        <f>[1]TOBEPAID!I44/1000</f>
        <v>0</v>
      </c>
      <c r="J52" s="19">
        <f>[1]TOBEPAID!J44/1000</f>
        <v>0</v>
      </c>
      <c r="K52" s="19">
        <f>[1]TOBEPAID!K44/1000</f>
        <v>0</v>
      </c>
      <c r="L52" s="19">
        <f>[1]TOBEPAID!L44/1000</f>
        <v>0</v>
      </c>
      <c r="M52" s="19">
        <f>[1]TOBEPAID!M44/1000</f>
        <v>0</v>
      </c>
      <c r="N52" s="19">
        <f>[1]TOBEPAID!N44/1000</f>
        <v>6975.8519999999999</v>
      </c>
      <c r="O52" s="19">
        <f>[1]TOBEPAID!O44/1000</f>
        <v>0</v>
      </c>
      <c r="P52" s="19">
        <f>[1]TOBEPAID!P44/1000</f>
        <v>0</v>
      </c>
      <c r="Q52" s="19">
        <f>[1]TOBEPAID!Q44/1000</f>
        <v>0</v>
      </c>
      <c r="R52" s="19">
        <v>0</v>
      </c>
      <c r="S52" s="19">
        <f>[1]TOBEPAID!S44/1000</f>
        <v>0</v>
      </c>
      <c r="T52" s="19">
        <f>[1]TOBEPAID!T44/1000</f>
        <v>0</v>
      </c>
      <c r="U52" s="19">
        <f>[1]TOBEPAID!U44/1000</f>
        <v>0</v>
      </c>
      <c r="V52" s="19">
        <f>[1]TOBEPAID!V44/1000</f>
        <v>0</v>
      </c>
      <c r="W52" s="19">
        <f>[1]TOBEPAID!W44/1000</f>
        <v>0</v>
      </c>
      <c r="X52" s="19">
        <f>[1]TOBEPAID!X44/1000</f>
        <v>0</v>
      </c>
      <c r="Y52" s="19">
        <f>+H52+R52</f>
        <v>6975.8519999999999</v>
      </c>
      <c r="Z52" s="19">
        <f>+D52-Y52</f>
        <v>0</v>
      </c>
      <c r="AA52" s="19">
        <f>[1]TOBEPAID!AA44/1000</f>
        <v>6975.8519999999999</v>
      </c>
      <c r="AB52" s="19">
        <f>[1]TOBEPAID!AB44/1000</f>
        <v>0</v>
      </c>
      <c r="AC52" s="19"/>
      <c r="AD52" s="19"/>
    </row>
    <row r="53" spans="1:44" x14ac:dyDescent="0.2">
      <c r="A53" s="18"/>
      <c r="C53" s="17" t="s">
        <v>54</v>
      </c>
      <c r="D53" s="19">
        <f>2485399/1000</f>
        <v>2485.3989999999999</v>
      </c>
      <c r="E53" s="19">
        <f>[1]TOBEPAID!E45/1000</f>
        <v>0</v>
      </c>
      <c r="F53" s="19">
        <f>[1]TOBEPAID!F45/1000</f>
        <v>0</v>
      </c>
      <c r="G53" s="19">
        <f>[1]TOBEPAID!G45/1000</f>
        <v>0</v>
      </c>
      <c r="H53" s="19">
        <v>0</v>
      </c>
      <c r="I53" s="19">
        <f>[1]TOBEPAID!I45/1000</f>
        <v>0</v>
      </c>
      <c r="J53" s="19">
        <f>[1]TOBEPAID!J45/1000</f>
        <v>0</v>
      </c>
      <c r="K53" s="19">
        <f>[1]TOBEPAID!K45/1000</f>
        <v>0</v>
      </c>
      <c r="L53" s="19">
        <f>[1]TOBEPAID!L45/1000</f>
        <v>0</v>
      </c>
      <c r="M53" s="19">
        <f>[1]TOBEPAID!M45/1000</f>
        <v>0</v>
      </c>
      <c r="N53" s="19">
        <f>[1]TOBEPAID!N45/1000</f>
        <v>0</v>
      </c>
      <c r="O53" s="19">
        <f>[1]TOBEPAID!O45/1000</f>
        <v>0</v>
      </c>
      <c r="P53" s="19">
        <f>[1]TOBEPAID!P45/1000</f>
        <v>0</v>
      </c>
      <c r="Q53" s="19">
        <f>[1]TOBEPAID!Q45/1000</f>
        <v>0</v>
      </c>
      <c r="R53" s="19">
        <v>0</v>
      </c>
      <c r="S53" s="19">
        <f>[1]TOBEPAID!S45/1000</f>
        <v>0</v>
      </c>
      <c r="T53" s="19">
        <f>[1]TOBEPAID!T45/1000</f>
        <v>0</v>
      </c>
      <c r="U53" s="19">
        <f>[1]TOBEPAID!U45/1000</f>
        <v>0</v>
      </c>
      <c r="V53" s="19">
        <f>[1]TOBEPAID!V45/1000</f>
        <v>0</v>
      </c>
      <c r="W53" s="19">
        <f>[1]TOBEPAID!W45/1000</f>
        <v>0</v>
      </c>
      <c r="X53" s="19">
        <f>[1]TOBEPAID!X45/1000</f>
        <v>0</v>
      </c>
      <c r="Y53" s="19">
        <f>+H53+R53</f>
        <v>0</v>
      </c>
      <c r="Z53" s="19">
        <f>+D53-Y53</f>
        <v>2485.3989999999999</v>
      </c>
      <c r="AA53" s="19">
        <f>[1]TOBEPAID!AA45/1000</f>
        <v>0</v>
      </c>
      <c r="AB53" s="19">
        <f>[1]TOBEPAID!AB45/1000</f>
        <v>2485.3994600000001</v>
      </c>
      <c r="AC53" s="19"/>
      <c r="AD53" s="19"/>
    </row>
    <row r="54" spans="1:44" x14ac:dyDescent="0.2">
      <c r="A54" s="18"/>
      <c r="D54" s="21" t="s">
        <v>57</v>
      </c>
      <c r="E54" s="21" t="s">
        <v>57</v>
      </c>
      <c r="F54" s="21" t="s">
        <v>57</v>
      </c>
      <c r="G54" s="21"/>
      <c r="H54" s="21" t="s">
        <v>57</v>
      </c>
      <c r="I54" s="21" t="s">
        <v>57</v>
      </c>
      <c r="J54" s="21" t="s">
        <v>57</v>
      </c>
      <c r="K54" s="21" t="s">
        <v>57</v>
      </c>
      <c r="L54" s="21" t="s">
        <v>57</v>
      </c>
      <c r="M54" s="21"/>
      <c r="N54" s="21" t="s">
        <v>57</v>
      </c>
      <c r="O54" s="21" t="s">
        <v>57</v>
      </c>
      <c r="P54" s="21" t="s">
        <v>57</v>
      </c>
      <c r="Q54" s="21"/>
      <c r="R54" s="21" t="s">
        <v>57</v>
      </c>
      <c r="S54" s="21" t="s">
        <v>57</v>
      </c>
      <c r="T54" s="21" t="s">
        <v>57</v>
      </c>
      <c r="U54" s="21" t="s">
        <v>57</v>
      </c>
      <c r="V54" s="21" t="s">
        <v>57</v>
      </c>
      <c r="W54" s="21"/>
      <c r="X54" s="21" t="s">
        <v>57</v>
      </c>
      <c r="Y54" s="21" t="s">
        <v>57</v>
      </c>
      <c r="Z54" s="21" t="s">
        <v>57</v>
      </c>
      <c r="AA54" s="21" t="s">
        <v>57</v>
      </c>
      <c r="AB54" s="21" t="s">
        <v>57</v>
      </c>
      <c r="AC54" s="21"/>
      <c r="AD54" s="21"/>
    </row>
    <row r="55" spans="1:44" x14ac:dyDescent="0.2">
      <c r="A55" s="18"/>
      <c r="D55" s="19">
        <f>SUM(D50:D53)</f>
        <v>30755.143</v>
      </c>
      <c r="E55" s="19">
        <f>SUM(E50:E53)</f>
        <v>8953.3989099999999</v>
      </c>
      <c r="F55" s="19">
        <f>SUM(F50:F53)</f>
        <v>0</v>
      </c>
      <c r="G55" s="19"/>
      <c r="H55" s="19">
        <f>SUM(H50:H53)</f>
        <v>8953.3979999999992</v>
      </c>
      <c r="I55" s="19">
        <f>SUM(I50:I53)</f>
        <v>0</v>
      </c>
      <c r="J55" s="19">
        <f>SUM(J50:J53)</f>
        <v>0</v>
      </c>
      <c r="K55" s="19">
        <f>SUM(K50:K53)</f>
        <v>0</v>
      </c>
      <c r="L55" s="19">
        <f>SUM(L50:L53)</f>
        <v>0</v>
      </c>
      <c r="M55" s="19"/>
      <c r="N55" s="19">
        <f>SUM(N50:N53)</f>
        <v>8953.3989099999999</v>
      </c>
      <c r="O55" s="19">
        <f>SUM(O50:O53)</f>
        <v>181.75254999999999</v>
      </c>
      <c r="P55" s="19">
        <f>SUM(P50:P53)</f>
        <v>0</v>
      </c>
      <c r="Q55" s="19"/>
      <c r="R55" s="19">
        <f>SUM(R50:R53)</f>
        <v>0</v>
      </c>
      <c r="S55" s="19">
        <f>SUM(S50:S53)</f>
        <v>39.241199999999999</v>
      </c>
      <c r="T55" s="19">
        <f>SUM(T50:T53)</f>
        <v>0</v>
      </c>
      <c r="U55" s="19">
        <f>SUM(U50:U53)</f>
        <v>0</v>
      </c>
      <c r="V55" s="19">
        <f>SUM(V50:V53)</f>
        <v>0</v>
      </c>
      <c r="W55" s="19"/>
      <c r="X55" s="19">
        <f>SUM(X50:X53)</f>
        <v>181.75254999999999</v>
      </c>
      <c r="Y55" s="19">
        <f>SUM(Y50:Y53)</f>
        <v>8953.3979999999992</v>
      </c>
      <c r="Z55" s="19">
        <f>SUM(Z50:Z53)</f>
        <v>21801.745000000003</v>
      </c>
      <c r="AA55" s="19">
        <f>SUM(AA50:AA53)</f>
        <v>9135.151460000001</v>
      </c>
      <c r="AB55" s="19">
        <f>SUM(AB50:AB53)</f>
        <v>21619.993859999999</v>
      </c>
      <c r="AC55" s="19"/>
      <c r="AD55" s="19"/>
    </row>
    <row r="56" spans="1:44" x14ac:dyDescent="0.2">
      <c r="A56" s="18"/>
      <c r="D56" s="21" t="s">
        <v>57</v>
      </c>
      <c r="E56" s="21" t="s">
        <v>57</v>
      </c>
      <c r="F56" s="21" t="s">
        <v>57</v>
      </c>
      <c r="G56" s="21"/>
      <c r="H56" s="21" t="s">
        <v>57</v>
      </c>
      <c r="I56" s="21" t="s">
        <v>57</v>
      </c>
      <c r="J56" s="21" t="s">
        <v>57</v>
      </c>
      <c r="K56" s="21" t="s">
        <v>57</v>
      </c>
      <c r="L56" s="21" t="s">
        <v>57</v>
      </c>
      <c r="M56" s="21"/>
      <c r="N56" s="21" t="s">
        <v>57</v>
      </c>
      <c r="O56" s="21" t="s">
        <v>57</v>
      </c>
      <c r="P56" s="21" t="s">
        <v>57</v>
      </c>
      <c r="Q56" s="21"/>
      <c r="R56" s="21" t="s">
        <v>57</v>
      </c>
      <c r="S56" s="21" t="s">
        <v>57</v>
      </c>
      <c r="T56" s="21" t="s">
        <v>57</v>
      </c>
      <c r="U56" s="21" t="s">
        <v>57</v>
      </c>
      <c r="V56" s="21" t="s">
        <v>57</v>
      </c>
      <c r="W56" s="21"/>
      <c r="X56" s="21" t="s">
        <v>57</v>
      </c>
      <c r="Y56" s="21" t="s">
        <v>57</v>
      </c>
      <c r="Z56" s="21" t="s">
        <v>57</v>
      </c>
      <c r="AA56" s="21" t="s">
        <v>57</v>
      </c>
      <c r="AB56" s="21" t="s">
        <v>57</v>
      </c>
      <c r="AC56" s="21"/>
      <c r="AD56" s="21"/>
    </row>
    <row r="57" spans="1:44" x14ac:dyDescent="0.2">
      <c r="A57" s="18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7"/>
      <c r="P57" s="28"/>
      <c r="Q57" s="29"/>
      <c r="R57" s="30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44" x14ac:dyDescent="0.2">
      <c r="A58" s="18">
        <v>5</v>
      </c>
      <c r="B58" s="20" t="s">
        <v>73</v>
      </c>
      <c r="C58" s="17" t="s">
        <v>51</v>
      </c>
      <c r="D58" s="19">
        <f>25823073.05/1000</f>
        <v>25823.073049999999</v>
      </c>
      <c r="E58" s="19">
        <f>[1]TOBEPAID!E50/1000</f>
        <v>0</v>
      </c>
      <c r="F58" s="19">
        <f>[1]TOBEPAID!F50/1000</f>
        <v>0</v>
      </c>
      <c r="G58" s="19">
        <f>[1]TOBEPAID!G50/1000</f>
        <v>0</v>
      </c>
      <c r="H58" s="19">
        <f>2000000/1000</f>
        <v>2000</v>
      </c>
      <c r="I58" s="19">
        <f>[1]TOBEPAID!I50/1000</f>
        <v>0</v>
      </c>
      <c r="J58" s="19">
        <f>[1]TOBEPAID!J50/1000</f>
        <v>0</v>
      </c>
      <c r="K58" s="19">
        <f>[1]TOBEPAID!K50/1000</f>
        <v>0</v>
      </c>
      <c r="L58" s="19">
        <f>[1]TOBEPAID!L50/1000</f>
        <v>0</v>
      </c>
      <c r="M58" s="19">
        <f>[1]TOBEPAID!M50/1000</f>
        <v>0</v>
      </c>
      <c r="N58" s="19">
        <f>[1]TOBEPAID!N50/1000</f>
        <v>0</v>
      </c>
      <c r="O58" s="19">
        <f>[1]TOBEPAID!O50/1000</f>
        <v>23528.628100000002</v>
      </c>
      <c r="P58" s="19">
        <f>[1]TOBEPAID!P50/1000</f>
        <v>0</v>
      </c>
      <c r="Q58" s="19">
        <f>[1]TOBEPAID!Q50/1000</f>
        <v>0</v>
      </c>
      <c r="R58" s="19">
        <f>23528628/1000</f>
        <v>23528.628000000001</v>
      </c>
      <c r="S58" s="19">
        <f>[1]TOBEPAID!S50/1000</f>
        <v>10110.608039999999</v>
      </c>
      <c r="T58" s="19">
        <f>[1]TOBEPAID!T50/1000</f>
        <v>5298.8419599999997</v>
      </c>
      <c r="U58" s="19">
        <f>[1]TOBEPAID!U50/1000</f>
        <v>0</v>
      </c>
      <c r="V58" s="19">
        <f>[1]TOBEPAID!V50/1000</f>
        <v>0</v>
      </c>
      <c r="W58" s="19">
        <f>[1]TOBEPAID!W50/1000</f>
        <v>0</v>
      </c>
      <c r="X58" s="19">
        <f>[1]TOBEPAID!X50/1000</f>
        <v>23528.628100000002</v>
      </c>
      <c r="Y58" s="19">
        <f>+H58+R58</f>
        <v>25528.628000000001</v>
      </c>
      <c r="Z58" s="19">
        <f>+D58-Y58</f>
        <v>294.44504999999845</v>
      </c>
      <c r="AA58" s="19">
        <f>[1]TOBEPAID!AA50/1000</f>
        <v>23528.628100000002</v>
      </c>
      <c r="AB58" s="19">
        <f>[1]TOBEPAID!AB50/1000</f>
        <v>-1.0000000149011611E-4</v>
      </c>
      <c r="AC58" s="19"/>
      <c r="AD58" s="19"/>
    </row>
    <row r="59" spans="1:44" x14ac:dyDescent="0.2">
      <c r="A59" s="18"/>
      <c r="C59" s="20" t="s">
        <v>52</v>
      </c>
      <c r="D59" s="19">
        <f>3180311/1000</f>
        <v>3180.3110000000001</v>
      </c>
      <c r="E59" s="19">
        <f>[1]TOBEPAID!E51/1000</f>
        <v>3180.31169</v>
      </c>
      <c r="F59" s="19">
        <f>[1]TOBEPAID!F51/1000</f>
        <v>0</v>
      </c>
      <c r="G59" s="19">
        <f>[1]TOBEPAID!G51/1000</f>
        <v>0</v>
      </c>
      <c r="H59" s="19">
        <f>3180311/1000</f>
        <v>3180.3110000000001</v>
      </c>
      <c r="I59" s="19">
        <f>[1]TOBEPAID!I51/1000</f>
        <v>0</v>
      </c>
      <c r="J59" s="19">
        <f>[1]TOBEPAID!J51/1000</f>
        <v>0</v>
      </c>
      <c r="K59" s="19">
        <f>[1]TOBEPAID!K51/1000</f>
        <v>0</v>
      </c>
      <c r="L59" s="19">
        <f>[1]TOBEPAID!L51/1000</f>
        <v>0</v>
      </c>
      <c r="M59" s="19">
        <f>[1]TOBEPAID!M51/1000</f>
        <v>0</v>
      </c>
      <c r="N59" s="19">
        <f>[1]TOBEPAID!N51/1000</f>
        <v>3180.31169</v>
      </c>
      <c r="O59" s="19">
        <f>[1]TOBEPAID!O51/1000</f>
        <v>0</v>
      </c>
      <c r="P59" s="19">
        <f>[1]TOBEPAID!P51/1000</f>
        <v>0</v>
      </c>
      <c r="Q59" s="19">
        <f>[1]TOBEPAID!Q51/1000</f>
        <v>0</v>
      </c>
      <c r="R59" s="19">
        <v>0</v>
      </c>
      <c r="S59" s="19">
        <f>[1]TOBEPAID!S51/1000</f>
        <v>0</v>
      </c>
      <c r="T59" s="19">
        <f>[1]TOBEPAID!T51/1000</f>
        <v>0</v>
      </c>
      <c r="U59" s="19">
        <f>[1]TOBEPAID!U51/1000</f>
        <v>0</v>
      </c>
      <c r="V59" s="19">
        <f>[1]TOBEPAID!V51/1000</f>
        <v>0</v>
      </c>
      <c r="W59" s="19">
        <f>[1]TOBEPAID!W51/1000</f>
        <v>0</v>
      </c>
      <c r="X59" s="19">
        <f>[1]TOBEPAID!X51/1000</f>
        <v>0</v>
      </c>
      <c r="Y59" s="19">
        <f t="shared" ref="Y59:Y78" si="3">+H59+R59</f>
        <v>3180.3110000000001</v>
      </c>
      <c r="Z59" s="19">
        <f t="shared" ref="Z59:Z78" si="4">+D59-Y59</f>
        <v>0</v>
      </c>
      <c r="AA59" s="19">
        <f>[1]TOBEPAID!AA51/1000</f>
        <v>3180.31169</v>
      </c>
      <c r="AB59" s="19">
        <f>[1]TOBEPAID!AB51/1000</f>
        <v>0</v>
      </c>
      <c r="AC59" s="19"/>
      <c r="AD59" s="19"/>
    </row>
    <row r="60" spans="1:44" x14ac:dyDescent="0.2">
      <c r="A60" s="18"/>
      <c r="C60" s="20" t="s">
        <v>65</v>
      </c>
      <c r="D60" s="19">
        <f>23000000/1000</f>
        <v>23000</v>
      </c>
      <c r="E60" s="19"/>
      <c r="F60" s="19"/>
      <c r="G60" s="19"/>
      <c r="H60" s="19">
        <f>23000000/1000</f>
        <v>23000</v>
      </c>
      <c r="I60" s="19"/>
      <c r="J60" s="19"/>
      <c r="K60" s="19"/>
      <c r="L60" s="19"/>
      <c r="M60" s="19"/>
      <c r="N60" s="19"/>
      <c r="O60" s="19"/>
      <c r="P60" s="19"/>
      <c r="Q60" s="19"/>
      <c r="R60" s="19">
        <v>0</v>
      </c>
      <c r="S60" s="19"/>
      <c r="T60" s="19"/>
      <c r="U60" s="19"/>
      <c r="V60" s="19"/>
      <c r="W60" s="19"/>
      <c r="X60" s="19"/>
      <c r="Y60" s="19">
        <f>+H60+R60</f>
        <v>23000</v>
      </c>
      <c r="Z60" s="19">
        <f>+D60-Y60</f>
        <v>0</v>
      </c>
      <c r="AA60" s="19"/>
      <c r="AB60" s="19"/>
      <c r="AC60" s="19"/>
      <c r="AD60" s="19"/>
    </row>
    <row r="61" spans="1:44" x14ac:dyDescent="0.2">
      <c r="A61" s="18"/>
      <c r="C61" s="20" t="s">
        <v>66</v>
      </c>
      <c r="D61" s="19">
        <f>40000000/1000</f>
        <v>40000</v>
      </c>
      <c r="E61" s="19"/>
      <c r="F61" s="19"/>
      <c r="G61" s="19"/>
      <c r="H61" s="19">
        <f>40000000/1000</f>
        <v>40000</v>
      </c>
      <c r="I61" s="19"/>
      <c r="J61" s="19"/>
      <c r="K61" s="19"/>
      <c r="L61" s="19"/>
      <c r="M61" s="19"/>
      <c r="N61" s="19"/>
      <c r="O61" s="19"/>
      <c r="P61" s="19"/>
      <c r="Q61" s="19"/>
      <c r="R61" s="19">
        <v>0</v>
      </c>
      <c r="S61" s="19"/>
      <c r="T61" s="19"/>
      <c r="U61" s="19"/>
      <c r="V61" s="19"/>
      <c r="W61" s="19"/>
      <c r="X61" s="19"/>
      <c r="Y61" s="19">
        <f>+H61+R61</f>
        <v>40000</v>
      </c>
      <c r="Z61" s="19">
        <f>+D61-Y61</f>
        <v>0</v>
      </c>
      <c r="AA61" s="19"/>
      <c r="AB61" s="19"/>
      <c r="AC61" s="19"/>
      <c r="AD61" s="19"/>
    </row>
    <row r="62" spans="1:44" x14ac:dyDescent="0.2">
      <c r="A62" s="18"/>
      <c r="C62" s="20" t="s">
        <v>74</v>
      </c>
      <c r="D62" s="19">
        <f>58283000/1000</f>
        <v>58283</v>
      </c>
      <c r="E62" s="19"/>
      <c r="F62" s="19"/>
      <c r="G62" s="19"/>
      <c r="H62" s="19">
        <f>14782000/1000</f>
        <v>14782</v>
      </c>
      <c r="I62" s="19"/>
      <c r="J62" s="19"/>
      <c r="K62" s="19"/>
      <c r="L62" s="19"/>
      <c r="M62" s="19"/>
      <c r="N62" s="19"/>
      <c r="O62" s="19"/>
      <c r="P62" s="19"/>
      <c r="Q62" s="19"/>
      <c r="R62" s="19">
        <f>2384353/1000</f>
        <v>2384.3530000000001</v>
      </c>
      <c r="S62" s="19"/>
      <c r="T62" s="19"/>
      <c r="U62" s="19"/>
      <c r="V62" s="19"/>
      <c r="W62" s="19"/>
      <c r="X62" s="19"/>
      <c r="Y62" s="19">
        <f>+H62+R62</f>
        <v>17166.352999999999</v>
      </c>
      <c r="Z62" s="19">
        <f>+D62-Y62</f>
        <v>41116.646999999997</v>
      </c>
      <c r="AA62" s="19"/>
      <c r="AB62" s="19"/>
      <c r="AC62" s="19"/>
      <c r="AD62" s="19"/>
    </row>
    <row r="63" spans="1:44" x14ac:dyDescent="0.2">
      <c r="A63" s="18"/>
      <c r="C63" s="3" t="s">
        <v>53</v>
      </c>
      <c r="D63" s="19">
        <f>4777683/1000</f>
        <v>4777.683</v>
      </c>
      <c r="E63" s="19"/>
      <c r="F63" s="19"/>
      <c r="G63" s="19"/>
      <c r="H63" s="19">
        <f>4777683/1000</f>
        <v>4777.683</v>
      </c>
      <c r="I63" s="19"/>
      <c r="J63" s="19"/>
      <c r="K63" s="19"/>
      <c r="L63" s="19"/>
      <c r="M63" s="19"/>
      <c r="N63" s="19"/>
      <c r="O63" s="19"/>
      <c r="P63" s="19"/>
      <c r="Q63" s="19"/>
      <c r="R63" s="19">
        <v>0</v>
      </c>
      <c r="S63" s="19"/>
      <c r="T63" s="19"/>
      <c r="U63" s="19"/>
      <c r="V63" s="19"/>
      <c r="W63" s="19"/>
      <c r="X63" s="19"/>
      <c r="Y63" s="19">
        <f t="shared" si="3"/>
        <v>4777.683</v>
      </c>
      <c r="Z63" s="19">
        <f t="shared" si="4"/>
        <v>0</v>
      </c>
      <c r="AA63" s="19"/>
      <c r="AB63" s="19"/>
      <c r="AC63" s="19"/>
      <c r="AD63" s="19"/>
    </row>
    <row r="64" spans="1:44" x14ac:dyDescent="0.2">
      <c r="A64" s="18"/>
      <c r="C64" s="3" t="s">
        <v>75</v>
      </c>
      <c r="D64" s="19">
        <f>8013100/1000</f>
        <v>8013.1</v>
      </c>
      <c r="E64" s="19"/>
      <c r="F64" s="19"/>
      <c r="G64" s="19"/>
      <c r="H64" s="19">
        <f>8013100/1000</f>
        <v>8013.1</v>
      </c>
      <c r="I64" s="19"/>
      <c r="J64" s="19"/>
      <c r="K64" s="19"/>
      <c r="L64" s="19"/>
      <c r="M64" s="19"/>
      <c r="N64" s="19"/>
      <c r="O64" s="19"/>
      <c r="P64" s="19"/>
      <c r="Q64" s="19"/>
      <c r="R64" s="19">
        <v>0</v>
      </c>
      <c r="S64" s="19"/>
      <c r="T64" s="19"/>
      <c r="U64" s="19"/>
      <c r="V64" s="19"/>
      <c r="W64" s="19"/>
      <c r="X64" s="19"/>
      <c r="Y64" s="19">
        <f t="shared" si="3"/>
        <v>8013.1</v>
      </c>
      <c r="Z64" s="19">
        <f t="shared" si="4"/>
        <v>0</v>
      </c>
      <c r="AA64" s="19"/>
      <c r="AB64" s="19"/>
      <c r="AC64" s="19"/>
      <c r="AD64" s="19"/>
    </row>
    <row r="65" spans="1:45" x14ac:dyDescent="0.2">
      <c r="A65" s="18"/>
      <c r="C65" s="3" t="s">
        <v>75</v>
      </c>
      <c r="D65" s="19">
        <f>4793793/1000</f>
        <v>4793.7929999999997</v>
      </c>
      <c r="E65" s="19"/>
      <c r="F65" s="19"/>
      <c r="G65" s="19"/>
      <c r="H65" s="19">
        <f>4793793/1000</f>
        <v>4793.7929999999997</v>
      </c>
      <c r="I65" s="19"/>
      <c r="J65" s="19"/>
      <c r="K65" s="19"/>
      <c r="L65" s="19"/>
      <c r="M65" s="19"/>
      <c r="N65" s="19"/>
      <c r="O65" s="19"/>
      <c r="P65" s="19"/>
      <c r="Q65" s="19"/>
      <c r="R65" s="19">
        <v>0</v>
      </c>
      <c r="S65" s="19"/>
      <c r="T65" s="19"/>
      <c r="U65" s="19"/>
      <c r="V65" s="19"/>
      <c r="W65" s="19"/>
      <c r="X65" s="19"/>
      <c r="Y65" s="19">
        <f t="shared" si="3"/>
        <v>4793.7929999999997</v>
      </c>
      <c r="Z65" s="19">
        <f t="shared" si="4"/>
        <v>0</v>
      </c>
      <c r="AA65" s="19"/>
      <c r="AB65" s="19"/>
      <c r="AC65" s="19"/>
      <c r="AD65" s="19"/>
    </row>
    <row r="66" spans="1:45" x14ac:dyDescent="0.2">
      <c r="A66" s="18"/>
      <c r="C66" s="3" t="s">
        <v>76</v>
      </c>
      <c r="D66" s="19">
        <f>12000000/1000</f>
        <v>12000</v>
      </c>
      <c r="E66" s="19"/>
      <c r="F66" s="19"/>
      <c r="G66" s="19"/>
      <c r="H66" s="19">
        <f>12000000/1000</f>
        <v>12000</v>
      </c>
      <c r="I66" s="19"/>
      <c r="J66" s="19"/>
      <c r="K66" s="19"/>
      <c r="L66" s="19"/>
      <c r="M66" s="19"/>
      <c r="N66" s="19"/>
      <c r="O66" s="19"/>
      <c r="P66" s="19"/>
      <c r="Q66" s="19"/>
      <c r="R66" s="19">
        <v>0</v>
      </c>
      <c r="S66" s="19"/>
      <c r="T66" s="19"/>
      <c r="U66" s="19"/>
      <c r="V66" s="19"/>
      <c r="W66" s="19"/>
      <c r="X66" s="19"/>
      <c r="Y66" s="19">
        <f t="shared" si="3"/>
        <v>12000</v>
      </c>
      <c r="Z66" s="19">
        <f t="shared" si="4"/>
        <v>0</v>
      </c>
      <c r="AA66" s="19"/>
      <c r="AB66" s="19"/>
      <c r="AC66" s="19"/>
      <c r="AD66" s="19"/>
    </row>
    <row r="67" spans="1:45" x14ac:dyDescent="0.2">
      <c r="A67" s="18"/>
      <c r="C67" s="3" t="s">
        <v>77</v>
      </c>
      <c r="D67" s="19">
        <f>24000000/1000</f>
        <v>24000</v>
      </c>
      <c r="E67" s="19"/>
      <c r="F67" s="19"/>
      <c r="G67" s="19"/>
      <c r="H67" s="19">
        <f>24000000/1000</f>
        <v>24000</v>
      </c>
      <c r="I67" s="19"/>
      <c r="J67" s="19"/>
      <c r="K67" s="19"/>
      <c r="L67" s="19"/>
      <c r="M67" s="19"/>
      <c r="N67" s="19"/>
      <c r="O67" s="19"/>
      <c r="P67" s="19"/>
      <c r="Q67" s="19"/>
      <c r="R67" s="19">
        <v>0</v>
      </c>
      <c r="S67" s="19"/>
      <c r="T67" s="19"/>
      <c r="U67" s="19"/>
      <c r="V67" s="19"/>
      <c r="W67" s="19"/>
      <c r="X67" s="19"/>
      <c r="Y67" s="19">
        <f t="shared" si="3"/>
        <v>24000</v>
      </c>
      <c r="Z67" s="19">
        <f t="shared" si="4"/>
        <v>0</v>
      </c>
      <c r="AA67" s="19"/>
      <c r="AB67" s="19"/>
      <c r="AC67" s="19"/>
      <c r="AD67" s="19"/>
    </row>
    <row r="68" spans="1:45" x14ac:dyDescent="0.2">
      <c r="C68" s="3" t="s">
        <v>67</v>
      </c>
      <c r="D68" s="19">
        <f>2212000000/1000</f>
        <v>2212000</v>
      </c>
      <c r="E68" s="19">
        <f>[1]TOBEPAID!E53/1000</f>
        <v>0</v>
      </c>
      <c r="F68" s="19">
        <f>[1]TOBEPAID!F53/1000</f>
        <v>30000</v>
      </c>
      <c r="G68" s="19">
        <f>[1]TOBEPAID!G53/1000</f>
        <v>0</v>
      </c>
      <c r="H68" s="19">
        <f>2212000000/1000</f>
        <v>2212000</v>
      </c>
      <c r="I68" s="19">
        <f>[1]TOBEPAID!I53/1000</f>
        <v>0</v>
      </c>
      <c r="J68" s="19">
        <f>[1]TOBEPAID!J53/1000</f>
        <v>0</v>
      </c>
      <c r="K68" s="19">
        <f>[1]TOBEPAID!K53/1000</f>
        <v>0</v>
      </c>
      <c r="L68" s="19">
        <f>[1]TOBEPAID!L53/1000</f>
        <v>0</v>
      </c>
      <c r="M68" s="19">
        <f>[1]TOBEPAID!M53/1000</f>
        <v>0</v>
      </c>
      <c r="N68" s="19">
        <f>[1]TOBEPAID!N53/1000</f>
        <v>30000</v>
      </c>
      <c r="O68" s="19">
        <f>[1]TOBEPAID!O53/1000</f>
        <v>0</v>
      </c>
      <c r="P68" s="19">
        <f>[1]TOBEPAID!P53/1000</f>
        <v>0</v>
      </c>
      <c r="Q68" s="19">
        <f>[1]TOBEPAID!Q53/1000</f>
        <v>0</v>
      </c>
      <c r="R68" s="19">
        <v>0</v>
      </c>
      <c r="S68" s="19">
        <f>[1]TOBEPAID!S53/1000</f>
        <v>0</v>
      </c>
      <c r="T68" s="19">
        <f>[1]TOBEPAID!T53/1000</f>
        <v>0</v>
      </c>
      <c r="U68" s="19">
        <f>[1]TOBEPAID!U53/1000</f>
        <v>0</v>
      </c>
      <c r="V68" s="19">
        <f>[1]TOBEPAID!V53/1000</f>
        <v>0</v>
      </c>
      <c r="W68" s="19">
        <f>[1]TOBEPAID!W53/1000</f>
        <v>0</v>
      </c>
      <c r="X68" s="19">
        <f>[1]TOBEPAID!X53/1000</f>
        <v>0</v>
      </c>
      <c r="Y68" s="19">
        <f t="shared" si="3"/>
        <v>2212000</v>
      </c>
      <c r="Z68" s="19">
        <f t="shared" si="4"/>
        <v>0</v>
      </c>
      <c r="AA68" s="19">
        <f>[1]TOBEPAID!AA53/1000</f>
        <v>30000</v>
      </c>
      <c r="AB68" s="19">
        <f>[1]TOBEPAID!AB53/1000</f>
        <v>0</v>
      </c>
      <c r="AC68" s="19"/>
      <c r="AD68" s="19"/>
    </row>
    <row r="69" spans="1:45" x14ac:dyDescent="0.2">
      <c r="C69" s="3" t="s">
        <v>78</v>
      </c>
      <c r="D69" s="3">
        <f>4600000/1000</f>
        <v>4600</v>
      </c>
      <c r="H69" s="3">
        <f>4600000/1000</f>
        <v>4600</v>
      </c>
      <c r="R69" s="19">
        <v>0</v>
      </c>
      <c r="Y69" s="19">
        <f t="shared" si="3"/>
        <v>4600</v>
      </c>
      <c r="Z69" s="19">
        <f t="shared" si="4"/>
        <v>0</v>
      </c>
    </row>
    <row r="70" spans="1:45" x14ac:dyDescent="0.2">
      <c r="C70" s="3" t="s">
        <v>79</v>
      </c>
      <c r="D70" s="3">
        <f>1014859.76/1000</f>
        <v>1014.8597600000001</v>
      </c>
      <c r="H70" s="3">
        <f>1014859.76/1000</f>
        <v>1014.8597600000001</v>
      </c>
      <c r="R70" s="19">
        <v>0</v>
      </c>
      <c r="Y70" s="19">
        <f t="shared" si="3"/>
        <v>1014.8597600000001</v>
      </c>
      <c r="Z70" s="19">
        <f t="shared" si="4"/>
        <v>0</v>
      </c>
    </row>
    <row r="71" spans="1:45" x14ac:dyDescent="0.2">
      <c r="C71" s="3" t="s">
        <v>68</v>
      </c>
      <c r="D71" s="3">
        <f>25000000/1000</f>
        <v>25000</v>
      </c>
      <c r="H71" s="3">
        <f>25000000/1000</f>
        <v>25000</v>
      </c>
      <c r="R71" s="19">
        <v>0</v>
      </c>
      <c r="Y71" s="19">
        <f t="shared" si="3"/>
        <v>25000</v>
      </c>
      <c r="Z71" s="19">
        <f t="shared" si="4"/>
        <v>0</v>
      </c>
    </row>
    <row r="72" spans="1:45" x14ac:dyDescent="0.2">
      <c r="C72" s="3" t="s">
        <v>80</v>
      </c>
      <c r="D72" s="3">
        <f>20000000/1000</f>
        <v>20000</v>
      </c>
      <c r="H72" s="3">
        <f>20000000/1000</f>
        <v>20000</v>
      </c>
      <c r="R72" s="19">
        <v>0</v>
      </c>
      <c r="Y72" s="19">
        <f t="shared" si="3"/>
        <v>20000</v>
      </c>
      <c r="Z72" s="19">
        <f t="shared" si="4"/>
        <v>0</v>
      </c>
    </row>
    <row r="73" spans="1:45" x14ac:dyDescent="0.2">
      <c r="C73" s="3" t="s">
        <v>69</v>
      </c>
      <c r="D73" s="3">
        <f>4692939/1000</f>
        <v>4692.9390000000003</v>
      </c>
      <c r="H73" s="3">
        <f>4692939/1000</f>
        <v>4692.9390000000003</v>
      </c>
      <c r="R73" s="19">
        <v>0</v>
      </c>
      <c r="Y73" s="19">
        <f t="shared" si="3"/>
        <v>4692.9390000000003</v>
      </c>
      <c r="Z73" s="19">
        <f t="shared" si="4"/>
        <v>0</v>
      </c>
    </row>
    <row r="74" spans="1:45" x14ac:dyDescent="0.2">
      <c r="A74" s="18"/>
      <c r="C74" s="20" t="s">
        <v>70</v>
      </c>
      <c r="D74" s="19">
        <f>13793000/1000</f>
        <v>13793</v>
      </c>
      <c r="E74" s="19">
        <f>[1]TOBEPAID!E54/1000</f>
        <v>13793</v>
      </c>
      <c r="F74" s="19">
        <f>[1]TOBEPAID!F54/1000</f>
        <v>0</v>
      </c>
      <c r="G74" s="19">
        <f>[1]TOBEPAID!G54/1000</f>
        <v>0</v>
      </c>
      <c r="H74" s="19">
        <f>13793000/1000</f>
        <v>13793</v>
      </c>
      <c r="I74" s="19">
        <f>[1]TOBEPAID!I54/1000</f>
        <v>0</v>
      </c>
      <c r="J74" s="19">
        <f>[1]TOBEPAID!J54/1000</f>
        <v>0</v>
      </c>
      <c r="K74" s="19">
        <f>[1]TOBEPAID!K54/1000</f>
        <v>0</v>
      </c>
      <c r="L74" s="19">
        <f>[1]TOBEPAID!L54/1000</f>
        <v>0</v>
      </c>
      <c r="M74" s="19">
        <f>[1]TOBEPAID!M54/1000</f>
        <v>0</v>
      </c>
      <c r="N74" s="19">
        <f>[1]TOBEPAID!N54/1000</f>
        <v>13793</v>
      </c>
      <c r="O74" s="19">
        <f>[1]TOBEPAID!O54/1000</f>
        <v>0</v>
      </c>
      <c r="P74" s="19">
        <f>[1]TOBEPAID!P54/1000</f>
        <v>0</v>
      </c>
      <c r="Q74" s="19">
        <f>[1]TOBEPAID!Q54/1000</f>
        <v>0</v>
      </c>
      <c r="R74" s="19">
        <v>0</v>
      </c>
      <c r="S74" s="19">
        <f>[1]TOBEPAID!S54/1000</f>
        <v>0</v>
      </c>
      <c r="T74" s="19">
        <f>[1]TOBEPAID!T54/1000</f>
        <v>0</v>
      </c>
      <c r="U74" s="19">
        <f>[1]TOBEPAID!U54/1000</f>
        <v>0</v>
      </c>
      <c r="V74" s="19">
        <f>[1]TOBEPAID!V54/1000</f>
        <v>0</v>
      </c>
      <c r="W74" s="19">
        <f>[1]TOBEPAID!W54/1000</f>
        <v>0</v>
      </c>
      <c r="X74" s="19">
        <f>[1]TOBEPAID!X54/1000</f>
        <v>0</v>
      </c>
      <c r="Y74" s="19">
        <f t="shared" si="3"/>
        <v>13793</v>
      </c>
      <c r="Z74" s="19">
        <f t="shared" si="4"/>
        <v>0</v>
      </c>
      <c r="AA74" s="19">
        <f>[1]TOBEPAID!AA54/1000</f>
        <v>13793</v>
      </c>
      <c r="AB74" s="19">
        <f>[1]TOBEPAID!AB54/1000</f>
        <v>0</v>
      </c>
      <c r="AC74" s="19"/>
      <c r="AD74" s="19"/>
    </row>
    <row r="75" spans="1:45" x14ac:dyDescent="0.2">
      <c r="A75" s="18"/>
      <c r="C75" s="20" t="s">
        <v>81</v>
      </c>
      <c r="D75" s="19">
        <f>11432000/1000</f>
        <v>11432</v>
      </c>
      <c r="E75" s="19">
        <f>[1]TOBEPAID!E55/1000</f>
        <v>11432</v>
      </c>
      <c r="F75" s="19">
        <f>[1]TOBEPAID!F55/1000</f>
        <v>0</v>
      </c>
      <c r="G75" s="19">
        <f>[1]TOBEPAID!G55/1000</f>
        <v>0</v>
      </c>
      <c r="H75" s="19">
        <f>11432000/1000</f>
        <v>11432</v>
      </c>
      <c r="I75" s="19">
        <f>[1]TOBEPAID!I55/1000</f>
        <v>0</v>
      </c>
      <c r="J75" s="19">
        <f>[1]TOBEPAID!J55/1000</f>
        <v>0</v>
      </c>
      <c r="K75" s="19">
        <f>[1]TOBEPAID!K55/1000</f>
        <v>0</v>
      </c>
      <c r="L75" s="19">
        <f>[1]TOBEPAID!L55/1000</f>
        <v>0</v>
      </c>
      <c r="M75" s="19">
        <f>[1]TOBEPAID!M55/1000</f>
        <v>0</v>
      </c>
      <c r="N75" s="19">
        <f>[1]TOBEPAID!N55/1000</f>
        <v>11432</v>
      </c>
      <c r="O75" s="19">
        <f>[1]TOBEPAID!O55/1000</f>
        <v>0</v>
      </c>
      <c r="P75" s="19">
        <f>[1]TOBEPAID!P55/1000</f>
        <v>0</v>
      </c>
      <c r="Q75" s="19">
        <f>[1]TOBEPAID!Q55/1000</f>
        <v>0</v>
      </c>
      <c r="R75" s="19">
        <v>0</v>
      </c>
      <c r="S75" s="19">
        <f>[1]TOBEPAID!S55/1000</f>
        <v>0</v>
      </c>
      <c r="T75" s="19">
        <f>[1]TOBEPAID!T55/1000</f>
        <v>0</v>
      </c>
      <c r="U75" s="19">
        <f>[1]TOBEPAID!U55/1000</f>
        <v>0</v>
      </c>
      <c r="V75" s="19">
        <f>[1]TOBEPAID!V55/1000</f>
        <v>0</v>
      </c>
      <c r="W75" s="19">
        <f>[1]TOBEPAID!W55/1000</f>
        <v>0</v>
      </c>
      <c r="X75" s="19">
        <f>[1]TOBEPAID!X55/1000</f>
        <v>0</v>
      </c>
      <c r="Y75" s="19">
        <f t="shared" si="3"/>
        <v>11432</v>
      </c>
      <c r="Z75" s="19">
        <f t="shared" si="4"/>
        <v>0</v>
      </c>
      <c r="AA75" s="19">
        <f>[1]TOBEPAID!AA55/1000</f>
        <v>11432</v>
      </c>
      <c r="AB75" s="19">
        <f>[1]TOBEPAID!AB55/1000</f>
        <v>0</v>
      </c>
      <c r="AC75" s="19"/>
      <c r="AD75" s="19"/>
    </row>
    <row r="76" spans="1:45" x14ac:dyDescent="0.2">
      <c r="C76" s="20" t="s">
        <v>82</v>
      </c>
      <c r="D76" s="19">
        <f>6333987/1000</f>
        <v>6333.9870000000001</v>
      </c>
      <c r="E76" s="19">
        <f>[1]TOBEPAID!E56/1000</f>
        <v>4500</v>
      </c>
      <c r="F76" s="19">
        <f>[1]TOBEPAID!F56/1000</f>
        <v>0</v>
      </c>
      <c r="G76" s="19">
        <f>[1]TOBEPAID!G56/1000</f>
        <v>0</v>
      </c>
      <c r="H76" s="19">
        <f>4500000/1000</f>
        <v>4500</v>
      </c>
      <c r="I76" s="19">
        <f>[1]TOBEPAID!I56/1000</f>
        <v>0</v>
      </c>
      <c r="J76" s="19">
        <f>[1]TOBEPAID!J56/1000</f>
        <v>0</v>
      </c>
      <c r="K76" s="19">
        <f>[1]TOBEPAID!K56/1000</f>
        <v>0</v>
      </c>
      <c r="L76" s="19">
        <f>[1]TOBEPAID!L56/1000</f>
        <v>0</v>
      </c>
      <c r="M76" s="19">
        <f>[1]TOBEPAID!M56/1000</f>
        <v>0</v>
      </c>
      <c r="N76" s="19">
        <f>[1]TOBEPAID!N56/1000</f>
        <v>4500</v>
      </c>
      <c r="O76" s="19">
        <f>[1]TOBEPAID!O56/1000</f>
        <v>1523.7322199999999</v>
      </c>
      <c r="P76" s="19">
        <f>[1]TOBEPAID!P56/1000</f>
        <v>0</v>
      </c>
      <c r="Q76" s="19">
        <f>[1]TOBEPAID!Q56/1000</f>
        <v>0</v>
      </c>
      <c r="R76" s="19">
        <f>1833987.72/1000</f>
        <v>1833.9877200000001</v>
      </c>
      <c r="S76" s="19">
        <f>[1]TOBEPAID!S56/1000</f>
        <v>0</v>
      </c>
      <c r="T76" s="19">
        <f>[1]TOBEPAID!T56/1000</f>
        <v>0</v>
      </c>
      <c r="U76" s="19">
        <f>[1]TOBEPAID!U56/1000</f>
        <v>0</v>
      </c>
      <c r="V76" s="19">
        <f>[1]TOBEPAID!V56/1000</f>
        <v>0</v>
      </c>
      <c r="W76" s="19">
        <f>[1]TOBEPAID!W56/1000</f>
        <v>0</v>
      </c>
      <c r="X76" s="19">
        <f>[1]TOBEPAID!X56/1000</f>
        <v>1523.7322199999999</v>
      </c>
      <c r="Y76" s="19">
        <f t="shared" si="3"/>
        <v>6333.9877200000001</v>
      </c>
      <c r="Z76" s="19">
        <f>+Y76-D76</f>
        <v>7.2000000000116415E-4</v>
      </c>
      <c r="AA76" s="19">
        <f>[1]TOBEPAID!AA56/1000</f>
        <v>6023.7322199999999</v>
      </c>
      <c r="AB76" s="19">
        <f>[1]TOBEPAID!AB56/1000</f>
        <v>8976.2677800000001</v>
      </c>
      <c r="AC76" s="19"/>
      <c r="AD76" s="19"/>
    </row>
    <row r="77" spans="1:45" x14ac:dyDescent="0.2">
      <c r="A77" s="18"/>
      <c r="C77" s="17" t="s">
        <v>54</v>
      </c>
      <c r="D77" s="19">
        <f>356044/1000</f>
        <v>356.04399999999998</v>
      </c>
      <c r="E77" s="19">
        <f>[1]TOBEPAID!E57/1000</f>
        <v>0</v>
      </c>
      <c r="F77" s="19">
        <f>[1]TOBEPAID!F57/1000</f>
        <v>0</v>
      </c>
      <c r="G77" s="19">
        <f>[1]TOBEPAID!G57/1000</f>
        <v>0</v>
      </c>
      <c r="H77" s="19">
        <v>0</v>
      </c>
      <c r="I77" s="19">
        <f>[1]TOBEPAID!I57/1000</f>
        <v>0</v>
      </c>
      <c r="J77" s="19">
        <f>[1]TOBEPAID!J57/1000</f>
        <v>0</v>
      </c>
      <c r="K77" s="19">
        <f>[1]TOBEPAID!K57/1000</f>
        <v>0</v>
      </c>
      <c r="L77" s="19">
        <f>[1]TOBEPAID!L57/1000</f>
        <v>0</v>
      </c>
      <c r="M77" s="19">
        <f>[1]TOBEPAID!M57/1000</f>
        <v>0</v>
      </c>
      <c r="N77" s="19">
        <f>[1]TOBEPAID!N57/1000</f>
        <v>0</v>
      </c>
      <c r="O77" s="19">
        <f>[1]TOBEPAID!O57/1000</f>
        <v>356.04470000000003</v>
      </c>
      <c r="P77" s="19">
        <f>[1]TOBEPAID!P57/1000</f>
        <v>0</v>
      </c>
      <c r="Q77" s="19">
        <f>[1]TOBEPAID!Q57/1000</f>
        <v>0</v>
      </c>
      <c r="R77" s="19">
        <f>356044/1000</f>
        <v>356.04399999999998</v>
      </c>
      <c r="S77" s="19">
        <f>[1]TOBEPAID!S57/1000</f>
        <v>316.73561999999998</v>
      </c>
      <c r="T77" s="19">
        <f>[1]TOBEPAID!T57/1000</f>
        <v>0</v>
      </c>
      <c r="U77" s="19">
        <f>[1]TOBEPAID!U57/1000</f>
        <v>0</v>
      </c>
      <c r="V77" s="19">
        <f>[1]TOBEPAID!V57/1000</f>
        <v>0</v>
      </c>
      <c r="W77" s="19">
        <f>[1]TOBEPAID!W57/1000</f>
        <v>0</v>
      </c>
      <c r="X77" s="19">
        <f>[1]TOBEPAID!X57/1000</f>
        <v>356.04470000000003</v>
      </c>
      <c r="Y77" s="19">
        <f t="shared" si="3"/>
        <v>356.04399999999998</v>
      </c>
      <c r="Z77" s="19">
        <f t="shared" si="4"/>
        <v>0</v>
      </c>
      <c r="AA77" s="19">
        <f>[1]TOBEPAID!AA57/1000</f>
        <v>356.04470000000003</v>
      </c>
      <c r="AB77" s="19">
        <f>[1]TOBEPAID!AB57/1000</f>
        <v>13.622669999999983</v>
      </c>
      <c r="AC77" s="19"/>
      <c r="AD77" s="19"/>
    </row>
    <row r="78" spans="1:45" x14ac:dyDescent="0.2">
      <c r="A78" s="18"/>
      <c r="C78" s="31" t="s">
        <v>56</v>
      </c>
      <c r="D78" s="19">
        <v>25.466999999999999</v>
      </c>
      <c r="E78" s="19">
        <f>[1]TOBEPAID!E58/1000</f>
        <v>0</v>
      </c>
      <c r="F78" s="19">
        <f>[1]TOBEPAID!F58/1000</f>
        <v>0</v>
      </c>
      <c r="G78" s="19">
        <f>[1]TOBEPAID!G58/1000</f>
        <v>0</v>
      </c>
      <c r="H78" s="19">
        <v>0</v>
      </c>
      <c r="I78" s="19">
        <f>[1]TOBEPAID!I58/1000</f>
        <v>0</v>
      </c>
      <c r="J78" s="19">
        <f>[1]TOBEPAID!J58/1000</f>
        <v>0</v>
      </c>
      <c r="K78" s="19">
        <f>[1]TOBEPAID!K58/1000</f>
        <v>0</v>
      </c>
      <c r="L78" s="19">
        <f>[1]TOBEPAID!L58/1000</f>
        <v>0</v>
      </c>
      <c r="M78" s="19">
        <f>[1]TOBEPAID!M58/1000</f>
        <v>0</v>
      </c>
      <c r="N78" s="19">
        <f>[1]TOBEPAID!N58/1000</f>
        <v>0</v>
      </c>
      <c r="O78" s="19">
        <f>[1]TOBEPAID!O58/1000</f>
        <v>25.467500000000001</v>
      </c>
      <c r="P78" s="19">
        <f>[1]TOBEPAID!P58/1000</f>
        <v>0</v>
      </c>
      <c r="Q78" s="19">
        <f>[1]TOBEPAID!Q58/1000</f>
        <v>0</v>
      </c>
      <c r="R78" s="19">
        <v>25.466999999999999</v>
      </c>
      <c r="S78" s="19">
        <f>[1]TOBEPAID!S58/1000</f>
        <v>0</v>
      </c>
      <c r="T78" s="19">
        <f>[1]TOBEPAID!T58/1000</f>
        <v>0</v>
      </c>
      <c r="U78" s="19">
        <f>[1]TOBEPAID!U58/1000</f>
        <v>0</v>
      </c>
      <c r="V78" s="19">
        <f>[1]TOBEPAID!V58/1000</f>
        <v>0</v>
      </c>
      <c r="W78" s="19">
        <f>[1]TOBEPAID!W58/1000</f>
        <v>0</v>
      </c>
      <c r="X78" s="19">
        <f>[1]TOBEPAID!X58/1000</f>
        <v>25.467500000000001</v>
      </c>
      <c r="Y78" s="19">
        <f t="shared" si="3"/>
        <v>25.466999999999999</v>
      </c>
      <c r="Z78" s="19">
        <f t="shared" si="4"/>
        <v>0</v>
      </c>
      <c r="AA78" s="19">
        <f>[1]TOBEPAID!AA58/1000</f>
        <v>25.467500000000001</v>
      </c>
      <c r="AB78" s="19">
        <f>[1]TOBEPAID!AB58/1000</f>
        <v>1405.5946899999999</v>
      </c>
      <c r="AC78" s="19"/>
      <c r="AD78" s="19"/>
    </row>
    <row r="79" spans="1:45" x14ac:dyDescent="0.2">
      <c r="A79" s="18"/>
      <c r="D79" s="21" t="s">
        <v>57</v>
      </c>
      <c r="E79" s="21" t="s">
        <v>57</v>
      </c>
      <c r="F79" s="21" t="s">
        <v>57</v>
      </c>
      <c r="G79" s="21"/>
      <c r="H79" s="21" t="s">
        <v>57</v>
      </c>
      <c r="I79" s="21" t="s">
        <v>57</v>
      </c>
      <c r="J79" s="21" t="s">
        <v>57</v>
      </c>
      <c r="K79" s="21" t="s">
        <v>57</v>
      </c>
      <c r="L79" s="21" t="s">
        <v>57</v>
      </c>
      <c r="M79" s="21"/>
      <c r="N79" s="21" t="s">
        <v>57</v>
      </c>
      <c r="O79" s="21" t="s">
        <v>57</v>
      </c>
      <c r="P79" s="21" t="s">
        <v>57</v>
      </c>
      <c r="Q79" s="21"/>
      <c r="R79" s="21" t="s">
        <v>57</v>
      </c>
      <c r="S79" s="21" t="s">
        <v>57</v>
      </c>
      <c r="T79" s="21" t="s">
        <v>57</v>
      </c>
      <c r="U79" s="21" t="s">
        <v>57</v>
      </c>
      <c r="V79" s="21" t="s">
        <v>57</v>
      </c>
      <c r="W79" s="21"/>
      <c r="X79" s="21" t="s">
        <v>57</v>
      </c>
      <c r="Y79" s="21" t="s">
        <v>57</v>
      </c>
      <c r="Z79" s="21" t="s">
        <v>57</v>
      </c>
      <c r="AA79" s="21" t="s">
        <v>57</v>
      </c>
      <c r="AB79" s="21" t="s">
        <v>57</v>
      </c>
      <c r="AC79" s="21"/>
      <c r="AD79" s="21"/>
      <c r="AS79" s="32" t="e">
        <f>+AF80-AK80-AP80</f>
        <v>#REF!</v>
      </c>
    </row>
    <row r="80" spans="1:45" x14ac:dyDescent="0.2">
      <c r="A80" s="18"/>
      <c r="D80" s="19">
        <f>SUM(D58:D78)</f>
        <v>2503119.2568100002</v>
      </c>
      <c r="E80" s="19">
        <f>SUM(E58:E78)</f>
        <v>32905.311690000002</v>
      </c>
      <c r="F80" s="19">
        <f>SUM(F58:F78)</f>
        <v>30000</v>
      </c>
      <c r="G80" s="19"/>
      <c r="H80" s="19">
        <f>SUM(H58:H78)</f>
        <v>2433579.6857599998</v>
      </c>
      <c r="I80" s="19">
        <f>SUM(I58:I78)</f>
        <v>0</v>
      </c>
      <c r="J80" s="19">
        <f>SUM(J58:J78)</f>
        <v>0</v>
      </c>
      <c r="K80" s="19">
        <f>SUM(K58:K78)</f>
        <v>0</v>
      </c>
      <c r="L80" s="19">
        <f>SUM(L58:L78)</f>
        <v>0</v>
      </c>
      <c r="M80" s="19"/>
      <c r="N80" s="19">
        <f>SUM(N58:N78)</f>
        <v>62905.311690000002</v>
      </c>
      <c r="O80" s="19">
        <f>SUM(O58:O78)</f>
        <v>25433.872519999997</v>
      </c>
      <c r="P80" s="19">
        <f>SUM(P58:P78)</f>
        <v>0</v>
      </c>
      <c r="Q80" s="19"/>
      <c r="R80" s="19">
        <f>SUM(R58:R78)</f>
        <v>28128.479720000003</v>
      </c>
      <c r="S80" s="19">
        <f>SUM(S58:S78)</f>
        <v>10427.343659999999</v>
      </c>
      <c r="T80" s="19">
        <f>SUM(T58:T78)</f>
        <v>5298.8419599999997</v>
      </c>
      <c r="U80" s="19">
        <f>SUM(U58:U78)</f>
        <v>0</v>
      </c>
      <c r="V80" s="19">
        <f>SUM(V58:V78)</f>
        <v>0</v>
      </c>
      <c r="W80" s="19"/>
      <c r="X80" s="19">
        <f>SUM(X58:X78)</f>
        <v>25433.872519999997</v>
      </c>
      <c r="Y80" s="19">
        <f>SUM(Y58:Y78)</f>
        <v>2461708.16548</v>
      </c>
      <c r="Z80" s="19">
        <f>SUM(Z58:Z78)</f>
        <v>41411.092769999988</v>
      </c>
      <c r="AA80" s="19">
        <f>SUM(AA58:AA78)</f>
        <v>88339.184210000007</v>
      </c>
      <c r="AB80" s="19">
        <f>SUM(AB58:AB78)</f>
        <v>10395.48504</v>
      </c>
      <c r="AC80" s="19"/>
      <c r="AD80" s="19"/>
      <c r="AF80" s="32" t="e">
        <f>+#REF!+D84+D52+D12+D34</f>
        <v>#REF!</v>
      </c>
      <c r="AG80" s="32" t="e">
        <f>+#REF!+E84+E52+E12+E34</f>
        <v>#REF!</v>
      </c>
      <c r="AH80" s="32" t="e">
        <f>+#REF!+F84+F52+F12+F34</f>
        <v>#REF!</v>
      </c>
      <c r="AI80" s="32" t="e">
        <f>+AG80+AH80</f>
        <v>#REF!</v>
      </c>
      <c r="AJ80" s="32" t="e">
        <f>+#REF!+L84+L52+L12+L34</f>
        <v>#REF!</v>
      </c>
      <c r="AK80" s="32" t="e">
        <f>+AI80+AJ80</f>
        <v>#REF!</v>
      </c>
      <c r="AL80" s="32" t="e">
        <f>+#REF!+O84+O52+O12+O34</f>
        <v>#REF!</v>
      </c>
      <c r="AM80" s="32">
        <f>+P12</f>
        <v>0</v>
      </c>
      <c r="AN80" s="32" t="e">
        <f>+AL80+AM80</f>
        <v>#REF!</v>
      </c>
      <c r="AO80" s="32">
        <f>+V12</f>
        <v>0</v>
      </c>
      <c r="AP80" s="32" t="e">
        <f>+AN80+AO80</f>
        <v>#REF!</v>
      </c>
      <c r="AQ80" s="32" t="e">
        <f>+AI80+AN80</f>
        <v>#REF!</v>
      </c>
      <c r="AR80" s="32" t="e">
        <f>+AF80-AQ80</f>
        <v>#REF!</v>
      </c>
      <c r="AS80" s="32">
        <f>+AF81-AK81-AP81</f>
        <v>310.25478000000021</v>
      </c>
    </row>
    <row r="81" spans="1:45" x14ac:dyDescent="0.2">
      <c r="A81" s="18"/>
      <c r="D81" s="21" t="s">
        <v>57</v>
      </c>
      <c r="E81" s="21" t="s">
        <v>57</v>
      </c>
      <c r="F81" s="21" t="s">
        <v>57</v>
      </c>
      <c r="G81" s="21"/>
      <c r="H81" s="21" t="s">
        <v>57</v>
      </c>
      <c r="I81" s="21" t="s">
        <v>57</v>
      </c>
      <c r="J81" s="21" t="s">
        <v>57</v>
      </c>
      <c r="K81" s="21" t="s">
        <v>57</v>
      </c>
      <c r="L81" s="21" t="s">
        <v>57</v>
      </c>
      <c r="M81" s="21"/>
      <c r="N81" s="21" t="s">
        <v>57</v>
      </c>
      <c r="O81" s="21" t="s">
        <v>57</v>
      </c>
      <c r="P81" s="21" t="s">
        <v>57</v>
      </c>
      <c r="Q81" s="21"/>
      <c r="R81" s="21" t="s">
        <v>57</v>
      </c>
      <c r="S81" s="21" t="s">
        <v>57</v>
      </c>
      <c r="T81" s="21" t="s">
        <v>57</v>
      </c>
      <c r="U81" s="21" t="s">
        <v>57</v>
      </c>
      <c r="V81" s="21" t="s">
        <v>57</v>
      </c>
      <c r="W81" s="21"/>
      <c r="X81" s="21" t="s">
        <v>57</v>
      </c>
      <c r="Y81" s="21" t="s">
        <v>57</v>
      </c>
      <c r="Z81" s="21" t="s">
        <v>57</v>
      </c>
      <c r="AA81" s="21" t="s">
        <v>57</v>
      </c>
      <c r="AB81" s="21" t="s">
        <v>57</v>
      </c>
      <c r="AC81" s="21"/>
      <c r="AD81" s="21"/>
      <c r="AE81" s="33" t="s">
        <v>72</v>
      </c>
      <c r="AF81" s="32">
        <f>+D76</f>
        <v>6333.9870000000001</v>
      </c>
      <c r="AG81" s="32">
        <f>+E76</f>
        <v>4500</v>
      </c>
      <c r="AH81" s="32">
        <f>+F76</f>
        <v>0</v>
      </c>
      <c r="AI81" s="32">
        <f>+AG81+AH81</f>
        <v>4500</v>
      </c>
      <c r="AJ81" s="32">
        <f>+L76</f>
        <v>0</v>
      </c>
      <c r="AK81" s="32">
        <f>+AI81+AJ81</f>
        <v>4500</v>
      </c>
      <c r="AL81" s="32">
        <f>+O76</f>
        <v>1523.7322199999999</v>
      </c>
      <c r="AM81" s="32">
        <f>+P76</f>
        <v>0</v>
      </c>
      <c r="AN81" s="32">
        <f>+AL81+AM81</f>
        <v>1523.7322199999999</v>
      </c>
      <c r="AO81" s="32">
        <f>+V50</f>
        <v>0</v>
      </c>
      <c r="AP81" s="32">
        <f>+AN81+AO81</f>
        <v>1523.7322199999999</v>
      </c>
      <c r="AQ81" s="32">
        <f>+AI81+AN81</f>
        <v>6023.7322199999999</v>
      </c>
      <c r="AR81" s="32">
        <f>+AF81-AQ81</f>
        <v>310.25478000000021</v>
      </c>
      <c r="AS81" s="34">
        <f>+AF82-AK82-AP82</f>
        <v>355820.68710999994</v>
      </c>
    </row>
    <row r="82" spans="1:45" x14ac:dyDescent="0.2">
      <c r="A82" s="18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35"/>
      <c r="Y82" s="21"/>
      <c r="Z82" s="21"/>
      <c r="AA82" s="21"/>
      <c r="AB82" s="21"/>
      <c r="AC82" s="21"/>
      <c r="AD82" s="21"/>
      <c r="AE82" s="25" t="s">
        <v>83</v>
      </c>
      <c r="AF82" s="34">
        <f>D10+D20+D31+D50+D58+D83</f>
        <v>390333.10026999994</v>
      </c>
      <c r="AG82" s="34">
        <f>E10+E20+E31+E50+E58+E83</f>
        <v>10000</v>
      </c>
      <c r="AH82" s="34">
        <f>F10+F20+F31+F50+F58+F83</f>
        <v>0</v>
      </c>
      <c r="AI82" s="34">
        <f>+AG82+AH82</f>
        <v>10000</v>
      </c>
      <c r="AJ82" s="34">
        <f>L10+L20+L31+L50+L58+L83</f>
        <v>0</v>
      </c>
      <c r="AK82" s="34">
        <f>+AI82+AJ82</f>
        <v>10000</v>
      </c>
      <c r="AL82" s="34">
        <f>O10+O20+O31+O50+O58+O83</f>
        <v>23989.570759999999</v>
      </c>
      <c r="AM82" s="34">
        <f>P10+P20+P31+P50+P58+P83</f>
        <v>522.8424</v>
      </c>
      <c r="AN82" s="34">
        <f>+AL82+AM82</f>
        <v>24512.41316</v>
      </c>
      <c r="AO82" s="34">
        <f>V10+V20+V31+V58+V83</f>
        <v>0</v>
      </c>
      <c r="AP82" s="34">
        <f>+AN82+AO82</f>
        <v>24512.41316</v>
      </c>
      <c r="AQ82" s="34">
        <f>+AI82+AN82</f>
        <v>34512.413159999996</v>
      </c>
      <c r="AR82" s="34">
        <f>+AF82-AQ82+0.2</f>
        <v>355820.88710999995</v>
      </c>
      <c r="AS82" s="34">
        <f>+AF83-AK83-AP83</f>
        <v>2482000</v>
      </c>
    </row>
    <row r="83" spans="1:45" x14ac:dyDescent="0.2">
      <c r="A83" s="18">
        <v>6</v>
      </c>
      <c r="B83" s="17" t="s">
        <v>84</v>
      </c>
      <c r="C83" s="17" t="s">
        <v>51</v>
      </c>
      <c r="D83" s="19">
        <f>[1]TOBEPAID!D63/1000</f>
        <v>112010.19867999999</v>
      </c>
      <c r="E83" s="19">
        <f>[1]TOBEPAID!E63/1000</f>
        <v>0</v>
      </c>
      <c r="F83" s="19">
        <f>[1]TOBEPAID!F63/1000</f>
        <v>0</v>
      </c>
      <c r="G83" s="19">
        <f>[1]TOBEPAID!G63/1000</f>
        <v>0</v>
      </c>
      <c r="H83" s="19">
        <f>[1]TOBEPAID!H63/1000</f>
        <v>0</v>
      </c>
      <c r="I83" s="19">
        <f>[1]TOBEPAID!I63/1000</f>
        <v>0</v>
      </c>
      <c r="J83" s="19">
        <f>[1]TOBEPAID!J63/1000</f>
        <v>0</v>
      </c>
      <c r="K83" s="19">
        <f>[1]TOBEPAID!K63/1000</f>
        <v>0</v>
      </c>
      <c r="L83" s="19">
        <f>[1]TOBEPAID!L63/1000</f>
        <v>0</v>
      </c>
      <c r="M83" s="19">
        <f>[1]TOBEPAID!M63/1000</f>
        <v>0</v>
      </c>
      <c r="N83" s="19">
        <f>[1]TOBEPAID!N63/1000</f>
        <v>0</v>
      </c>
      <c r="O83" s="19">
        <f>[1]TOBEPAID!O63/1000</f>
        <v>84.243300000000005</v>
      </c>
      <c r="P83" s="19">
        <f>[1]TOBEPAID!P63/1000</f>
        <v>0</v>
      </c>
      <c r="Q83" s="19">
        <f>[1]TOBEPAID!Q63/1000</f>
        <v>0</v>
      </c>
      <c r="R83" s="19">
        <f>246961.97/1000</f>
        <v>246.96197000000001</v>
      </c>
      <c r="S83" s="19">
        <f>[1]TOBEPAID!S63/1000</f>
        <v>1154.2370000000001</v>
      </c>
      <c r="T83" s="19">
        <f>[1]TOBEPAID!T63/1000</f>
        <v>0</v>
      </c>
      <c r="U83" s="19">
        <f>[1]TOBEPAID!U63/1000</f>
        <v>0</v>
      </c>
      <c r="V83" s="19">
        <f>[1]TOBEPAID!V63/1000</f>
        <v>0</v>
      </c>
      <c r="W83" s="19">
        <f>[1]TOBEPAID!W63/1000</f>
        <v>0</v>
      </c>
      <c r="X83" s="19">
        <f>[1]TOBEPAID!X63/1000</f>
        <v>84.243300000000005</v>
      </c>
      <c r="Y83" s="19">
        <f>+H83+R83</f>
        <v>246.96197000000001</v>
      </c>
      <c r="Z83" s="19">
        <f>+D83-Y83</f>
        <v>111763.23670999998</v>
      </c>
      <c r="AA83" s="19">
        <f>[1]TOBEPAID!AA63/1000</f>
        <v>84.243300000000005</v>
      </c>
      <c r="AB83" s="19">
        <f>[1]TOBEPAID!AB63/1000</f>
        <v>111925.95538</v>
      </c>
      <c r="AC83" s="19"/>
      <c r="AD83" s="19"/>
      <c r="AE83" s="25" t="s">
        <v>85</v>
      </c>
      <c r="AF83" s="34">
        <f>+D85+D68</f>
        <v>2572000</v>
      </c>
      <c r="AG83" s="34">
        <f>+E85+E68</f>
        <v>30000</v>
      </c>
      <c r="AH83" s="34">
        <f>+F85+F68</f>
        <v>60000</v>
      </c>
      <c r="AI83" s="34">
        <f>+AG83+AH83</f>
        <v>90000</v>
      </c>
      <c r="AJ83" s="34">
        <f>+L85+L68</f>
        <v>0</v>
      </c>
      <c r="AK83" s="34">
        <f>+AI83+AJ83</f>
        <v>90000</v>
      </c>
      <c r="AL83" s="34">
        <f>+O85+O68</f>
        <v>0</v>
      </c>
      <c r="AM83" s="34">
        <f>+P85+P68</f>
        <v>0</v>
      </c>
      <c r="AN83" s="34">
        <f>+AL83+AM83</f>
        <v>0</v>
      </c>
      <c r="AO83" s="34">
        <f>+V85+V68</f>
        <v>0</v>
      </c>
      <c r="AP83" s="34">
        <f>+AN83+AO83</f>
        <v>0</v>
      </c>
      <c r="AQ83" s="34">
        <f>+AI83+AN83</f>
        <v>90000</v>
      </c>
      <c r="AR83" s="34">
        <f>+AF83-AQ83</f>
        <v>2482000</v>
      </c>
    </row>
    <row r="84" spans="1:45" x14ac:dyDescent="0.2">
      <c r="C84" s="3" t="s">
        <v>53</v>
      </c>
      <c r="D84" s="19">
        <f>[1]TOBEPAID!D64/1000</f>
        <v>3027.3549199999998</v>
      </c>
      <c r="E84" s="19">
        <f>[1]TOBEPAID!E64/1000</f>
        <v>3027.3549199999998</v>
      </c>
      <c r="F84" s="19">
        <f>[1]TOBEPAID!F64/1000</f>
        <v>0</v>
      </c>
      <c r="G84" s="19">
        <f>[1]TOBEPAID!G64/1000</f>
        <v>0</v>
      </c>
      <c r="H84" s="19">
        <f>[1]TOBEPAID!H64/1000</f>
        <v>3027.3549199999998</v>
      </c>
      <c r="I84" s="19">
        <f>[1]TOBEPAID!I64/1000</f>
        <v>0</v>
      </c>
      <c r="J84" s="19">
        <f>[1]TOBEPAID!J64/1000</f>
        <v>0</v>
      </c>
      <c r="K84" s="19">
        <f>[1]TOBEPAID!K64/1000</f>
        <v>0</v>
      </c>
      <c r="L84" s="19">
        <f>[1]TOBEPAID!L64/1000</f>
        <v>0</v>
      </c>
      <c r="M84" s="19">
        <f>[1]TOBEPAID!M64/1000</f>
        <v>0</v>
      </c>
      <c r="N84" s="19">
        <f>[1]TOBEPAID!N64/1000</f>
        <v>3027.3549199999998</v>
      </c>
      <c r="O84" s="19">
        <f>[1]TOBEPAID!O64/1000</f>
        <v>0</v>
      </c>
      <c r="P84" s="19">
        <f>[1]TOBEPAID!P64/1000</f>
        <v>0</v>
      </c>
      <c r="Q84" s="19">
        <f>[1]TOBEPAID!Q64/1000</f>
        <v>0</v>
      </c>
      <c r="R84" s="19">
        <f>[1]TOBEPAID!R64/1000</f>
        <v>0</v>
      </c>
      <c r="S84" s="19">
        <f>[1]TOBEPAID!S64/1000</f>
        <v>0</v>
      </c>
      <c r="T84" s="19">
        <f>[1]TOBEPAID!T64/1000</f>
        <v>0</v>
      </c>
      <c r="U84" s="19">
        <f>[1]TOBEPAID!U64/1000</f>
        <v>0</v>
      </c>
      <c r="V84" s="19">
        <f>[1]TOBEPAID!V64/1000</f>
        <v>0</v>
      </c>
      <c r="W84" s="19">
        <f>[1]TOBEPAID!W64/1000</f>
        <v>0</v>
      </c>
      <c r="X84" s="19">
        <f>[1]TOBEPAID!X64/1000</f>
        <v>0</v>
      </c>
      <c r="Y84" s="19">
        <f>[1]TOBEPAID!Y64/1000</f>
        <v>3027.3549199999998</v>
      </c>
      <c r="Z84" s="19">
        <f>[1]TOBEPAID!Z64/1000</f>
        <v>0</v>
      </c>
      <c r="AA84" s="19">
        <f>[1]TOBEPAID!AA64/1000</f>
        <v>3027.3549199999998</v>
      </c>
      <c r="AB84" s="19">
        <f>[1]TOBEPAID!AB64/1000</f>
        <v>0</v>
      </c>
      <c r="AC84" s="19"/>
      <c r="AD84" s="19"/>
      <c r="AE84" s="25" t="s">
        <v>86</v>
      </c>
      <c r="AS84" s="34">
        <f t="shared" ref="AS84:AS91" si="5">+AF85-AK85-AP85</f>
        <v>-3.099999998084968E-3</v>
      </c>
    </row>
    <row r="85" spans="1:45" x14ac:dyDescent="0.2">
      <c r="C85" s="3" t="s">
        <v>67</v>
      </c>
      <c r="D85" s="19">
        <f>360000000/1000</f>
        <v>360000</v>
      </c>
      <c r="E85" s="19">
        <f>[1]TOBEPAID!E65/1000</f>
        <v>30000</v>
      </c>
      <c r="F85" s="19">
        <f>[1]TOBEPAID!F65/1000</f>
        <v>30000</v>
      </c>
      <c r="G85" s="19">
        <f>[1]TOBEPAID!G65/1000</f>
        <v>0</v>
      </c>
      <c r="H85" s="19">
        <f>360000000/1000</f>
        <v>360000</v>
      </c>
      <c r="I85" s="19">
        <f>[1]TOBEPAID!I65/1000</f>
        <v>0</v>
      </c>
      <c r="J85" s="19">
        <f>[1]TOBEPAID!J65/1000</f>
        <v>0</v>
      </c>
      <c r="K85" s="19">
        <f>[1]TOBEPAID!K65/1000</f>
        <v>0</v>
      </c>
      <c r="L85" s="19">
        <f>[1]TOBEPAID!L65/1000</f>
        <v>0</v>
      </c>
      <c r="M85" s="19">
        <f>[1]TOBEPAID!M65/1000</f>
        <v>0</v>
      </c>
      <c r="N85" s="19">
        <f>[1]TOBEPAID!N65/1000</f>
        <v>60000</v>
      </c>
      <c r="O85" s="19">
        <f>[1]TOBEPAID!O65/1000</f>
        <v>0</v>
      </c>
      <c r="P85" s="19">
        <f>[1]TOBEPAID!P65/1000</f>
        <v>0</v>
      </c>
      <c r="Q85" s="19">
        <f>[1]TOBEPAID!Q65/1000</f>
        <v>0</v>
      </c>
      <c r="R85" s="19">
        <f>[1]TOBEPAID!R65/1000</f>
        <v>0</v>
      </c>
      <c r="S85" s="19">
        <f>[1]TOBEPAID!S65/1000</f>
        <v>0</v>
      </c>
      <c r="T85" s="19">
        <f>[1]TOBEPAID!T65/1000</f>
        <v>0</v>
      </c>
      <c r="U85" s="19">
        <f>[1]TOBEPAID!U65/1000</f>
        <v>0</v>
      </c>
      <c r="V85" s="19">
        <f>[1]TOBEPAID!V65/1000</f>
        <v>0</v>
      </c>
      <c r="W85" s="19">
        <f>[1]TOBEPAID!W65/1000</f>
        <v>0</v>
      </c>
      <c r="X85" s="19">
        <f>[1]TOBEPAID!X65/1000</f>
        <v>0</v>
      </c>
      <c r="Y85" s="19">
        <f>+H85+R85</f>
        <v>360000</v>
      </c>
      <c r="Z85" s="19">
        <f>[1]TOBEPAID!Z65/1000</f>
        <v>0</v>
      </c>
      <c r="AA85" s="19">
        <f>[1]TOBEPAID!AA65/1000</f>
        <v>60000</v>
      </c>
      <c r="AB85" s="19">
        <f>[1]TOBEPAID!AB65/1000</f>
        <v>0</v>
      </c>
      <c r="AC85" s="19"/>
      <c r="AD85" s="19"/>
      <c r="AF85" s="34">
        <f>D11+D21+D32+D51+D59+D86</f>
        <v>11222.622000000001</v>
      </c>
      <c r="AG85" s="34">
        <f>E11+E21+E32+E51+E59+E86</f>
        <v>11222.625099999999</v>
      </c>
      <c r="AH85" s="34">
        <f>F11+F21+F32+F51+F59+F86</f>
        <v>0</v>
      </c>
      <c r="AI85" s="34">
        <f t="shared" ref="AI85:AI92" si="6">+AG85+AH85</f>
        <v>11222.625099999999</v>
      </c>
      <c r="AJ85" s="34">
        <f>L11+L21+L32+L51+L59+L86</f>
        <v>0</v>
      </c>
      <c r="AK85" s="34">
        <f t="shared" ref="AK85:AK92" si="7">+AI85+AJ85</f>
        <v>11222.625099999999</v>
      </c>
      <c r="AL85" s="34">
        <f>O11+O21+O32+O51+O59+O86</f>
        <v>0</v>
      </c>
      <c r="AM85" s="34">
        <f>P11+P21+P32+P51+P59+P86</f>
        <v>0</v>
      </c>
      <c r="AN85" s="34">
        <f t="shared" ref="AN85:AN92" si="8">+AL85+AM85</f>
        <v>0</v>
      </c>
      <c r="AO85" s="34">
        <f>V11+V21+V32+V51+V59+V86</f>
        <v>0</v>
      </c>
      <c r="AP85" s="34">
        <f t="shared" ref="AP85:AP92" si="9">+AN85+AO85</f>
        <v>0</v>
      </c>
      <c r="AQ85" s="34">
        <f t="shared" ref="AQ85:AQ92" si="10">+AI85+AN85</f>
        <v>11222.625099999999</v>
      </c>
      <c r="AR85" s="34">
        <f t="shared" ref="AR85:AR92" si="11">+AF85-AQ85</f>
        <v>-3.099999998084968E-3</v>
      </c>
      <c r="AS85" s="34">
        <f t="shared" si="5"/>
        <v>115159.33029</v>
      </c>
    </row>
    <row r="86" spans="1:45" x14ac:dyDescent="0.2">
      <c r="A86" s="18"/>
      <c r="C86" s="20" t="s">
        <v>52</v>
      </c>
      <c r="D86" s="19">
        <f>[1]TOBEPAID!D66/1000</f>
        <v>600</v>
      </c>
      <c r="E86" s="19">
        <f>[1]TOBEPAID!E66/1000</f>
        <v>600</v>
      </c>
      <c r="F86" s="19">
        <f>[1]TOBEPAID!F66/1000</f>
        <v>0</v>
      </c>
      <c r="G86" s="19">
        <f>[1]TOBEPAID!G66/1000</f>
        <v>0</v>
      </c>
      <c r="H86" s="19">
        <f>[1]TOBEPAID!H66/1000</f>
        <v>600</v>
      </c>
      <c r="I86" s="19">
        <f>[1]TOBEPAID!I66/1000</f>
        <v>0</v>
      </c>
      <c r="J86" s="19">
        <f>[1]TOBEPAID!J66/1000</f>
        <v>0</v>
      </c>
      <c r="K86" s="19">
        <f>[1]TOBEPAID!K66/1000</f>
        <v>0</v>
      </c>
      <c r="L86" s="19">
        <f>[1]TOBEPAID!L66/1000</f>
        <v>0</v>
      </c>
      <c r="M86" s="19">
        <f>[1]TOBEPAID!M66/1000</f>
        <v>0</v>
      </c>
      <c r="N86" s="19">
        <f>[1]TOBEPAID!N66/1000</f>
        <v>600</v>
      </c>
      <c r="O86" s="19">
        <f>[1]TOBEPAID!O66/1000</f>
        <v>0</v>
      </c>
      <c r="P86" s="19">
        <f>[1]TOBEPAID!P66/1000</f>
        <v>0</v>
      </c>
      <c r="Q86" s="19">
        <f>[1]TOBEPAID!Q66/1000</f>
        <v>0</v>
      </c>
      <c r="R86" s="19">
        <f>[1]TOBEPAID!R66/1000</f>
        <v>0</v>
      </c>
      <c r="S86" s="19">
        <f>[1]TOBEPAID!S66/1000</f>
        <v>0</v>
      </c>
      <c r="T86" s="19">
        <f>[1]TOBEPAID!T66/1000</f>
        <v>0</v>
      </c>
      <c r="U86" s="19">
        <f>[1]TOBEPAID!U66/1000</f>
        <v>0</v>
      </c>
      <c r="V86" s="19">
        <f>[1]TOBEPAID!V66/1000</f>
        <v>0</v>
      </c>
      <c r="W86" s="19">
        <f>[1]TOBEPAID!W66/1000</f>
        <v>0</v>
      </c>
      <c r="X86" s="19">
        <f>[1]TOBEPAID!X66/1000</f>
        <v>0</v>
      </c>
      <c r="Y86" s="19">
        <f>[1]TOBEPAID!Y66/1000</f>
        <v>600</v>
      </c>
      <c r="Z86" s="19">
        <f>[1]TOBEPAID!Z66/1000</f>
        <v>0</v>
      </c>
      <c r="AA86" s="19">
        <f>[1]TOBEPAID!AA66/1000</f>
        <v>600</v>
      </c>
      <c r="AB86" s="19">
        <f>[1]TOBEPAID!AB66/1000</f>
        <v>0</v>
      </c>
      <c r="AC86" s="19"/>
      <c r="AD86" s="19"/>
      <c r="AE86" s="25" t="s">
        <v>52</v>
      </c>
      <c r="AF86" s="34">
        <f>D13+D22+D43+D53+D77+D88</f>
        <v>117795.87366</v>
      </c>
      <c r="AG86" s="34">
        <f>E13+E22+E43+E53+E77+E88</f>
        <v>0</v>
      </c>
      <c r="AH86" s="34">
        <f>F13+F22+F43+F53+F77+F88</f>
        <v>0</v>
      </c>
      <c r="AI86" s="34">
        <f t="shared" si="6"/>
        <v>0</v>
      </c>
      <c r="AJ86" s="34">
        <f>L13+L22+L33+L53+L74+L87</f>
        <v>0</v>
      </c>
      <c r="AK86" s="34">
        <f t="shared" si="7"/>
        <v>0</v>
      </c>
      <c r="AL86" s="34">
        <f>O13+O22+O43+O53+O53+O77+O88</f>
        <v>2636.5433699999999</v>
      </c>
      <c r="AM86" s="34">
        <f>P13+P22+P43+P53+P74+P87</f>
        <v>0</v>
      </c>
      <c r="AN86" s="34">
        <f t="shared" si="8"/>
        <v>2636.5433699999999</v>
      </c>
      <c r="AO86" s="34">
        <f>V13+V22+V33+V53+V74+V87</f>
        <v>0</v>
      </c>
      <c r="AP86" s="34">
        <f t="shared" si="9"/>
        <v>2636.5433699999999</v>
      </c>
      <c r="AQ86" s="34">
        <f t="shared" si="10"/>
        <v>2636.5433699999999</v>
      </c>
      <c r="AR86" s="34">
        <f t="shared" si="11"/>
        <v>115159.33029</v>
      </c>
      <c r="AS86" s="34" t="e">
        <f t="shared" si="5"/>
        <v>#VALUE!</v>
      </c>
    </row>
    <row r="87" spans="1:45" x14ac:dyDescent="0.2">
      <c r="A87" s="18"/>
      <c r="C87" s="20" t="s">
        <v>70</v>
      </c>
      <c r="D87" s="19">
        <f>[1]TOBEPAID!D67/1000</f>
        <v>4000</v>
      </c>
      <c r="E87" s="19">
        <f>[1]TOBEPAID!E67/1000</f>
        <v>4000</v>
      </c>
      <c r="F87" s="19">
        <f>[1]TOBEPAID!F67/1000</f>
        <v>0</v>
      </c>
      <c r="G87" s="19">
        <f>[1]TOBEPAID!G67/1000</f>
        <v>0</v>
      </c>
      <c r="H87" s="19">
        <f>[1]TOBEPAID!H67/1000</f>
        <v>4000</v>
      </c>
      <c r="I87" s="19">
        <f>[1]TOBEPAID!I67/1000</f>
        <v>0</v>
      </c>
      <c r="J87" s="19">
        <f>[1]TOBEPAID!J67/1000</f>
        <v>0</v>
      </c>
      <c r="K87" s="19">
        <f>[1]TOBEPAID!K67/1000</f>
        <v>0</v>
      </c>
      <c r="L87" s="19">
        <f>[1]TOBEPAID!L67/1000</f>
        <v>0</v>
      </c>
      <c r="M87" s="19">
        <f>[1]TOBEPAID!M67/1000</f>
        <v>0</v>
      </c>
      <c r="N87" s="19">
        <f>[1]TOBEPAID!N67/1000</f>
        <v>4000</v>
      </c>
      <c r="O87" s="19">
        <f>[1]TOBEPAID!O67/1000</f>
        <v>0</v>
      </c>
      <c r="P87" s="19">
        <f>[1]TOBEPAID!P67/1000</f>
        <v>0</v>
      </c>
      <c r="Q87" s="19">
        <f>[1]TOBEPAID!Q67/1000</f>
        <v>0</v>
      </c>
      <c r="R87" s="19">
        <f>[1]TOBEPAID!R67/1000</f>
        <v>0</v>
      </c>
      <c r="S87" s="19">
        <f>[1]TOBEPAID!S67/1000</f>
        <v>0</v>
      </c>
      <c r="T87" s="19">
        <f>[1]TOBEPAID!T67/1000</f>
        <v>0</v>
      </c>
      <c r="U87" s="19">
        <f>[1]TOBEPAID!U67/1000</f>
        <v>0</v>
      </c>
      <c r="V87" s="19">
        <f>[1]TOBEPAID!V67/1000</f>
        <v>0</v>
      </c>
      <c r="W87" s="19">
        <f>[1]TOBEPAID!W67/1000</f>
        <v>0</v>
      </c>
      <c r="X87" s="19">
        <f>[1]TOBEPAID!X67/1000</f>
        <v>0</v>
      </c>
      <c r="Y87" s="19">
        <f>[1]TOBEPAID!Y67/1000</f>
        <v>4000</v>
      </c>
      <c r="Z87" s="19">
        <f>[1]TOBEPAID!Z67/1000</f>
        <v>0</v>
      </c>
      <c r="AA87" s="19">
        <f>[1]TOBEPAID!AA67/1000</f>
        <v>4000</v>
      </c>
      <c r="AB87" s="19">
        <f>[1]TOBEPAID!AB67/1000</f>
        <v>0</v>
      </c>
      <c r="AC87" s="19"/>
      <c r="AD87" s="19"/>
      <c r="AE87" s="25" t="s">
        <v>87</v>
      </c>
      <c r="AF87" s="34">
        <f>D15+D23+D45+D78</f>
        <v>2661.498</v>
      </c>
      <c r="AG87" s="34">
        <f>E15+E23+E45+E78</f>
        <v>0</v>
      </c>
      <c r="AH87" s="34">
        <f>F15+F23+F45+F78</f>
        <v>0</v>
      </c>
      <c r="AI87" s="34">
        <f t="shared" si="6"/>
        <v>0</v>
      </c>
      <c r="AJ87" s="34" t="e">
        <f>L15+L23+L42+L54+L75+L88</f>
        <v>#VALUE!</v>
      </c>
      <c r="AK87" s="34" t="e">
        <f t="shared" si="7"/>
        <v>#VALUE!</v>
      </c>
      <c r="AL87" s="34">
        <f>O15+O23+O45+O78</f>
        <v>25.467500000000001</v>
      </c>
      <c r="AM87" s="34" t="e">
        <f>P14+P23+P42+P54+P75+P88</f>
        <v>#VALUE!</v>
      </c>
      <c r="AN87" s="34" t="e">
        <f t="shared" si="8"/>
        <v>#VALUE!</v>
      </c>
      <c r="AO87" s="34" t="e">
        <f>V14+V23+V42+V54+V75+V88</f>
        <v>#VALUE!</v>
      </c>
      <c r="AP87" s="34" t="e">
        <f t="shared" si="9"/>
        <v>#VALUE!</v>
      </c>
      <c r="AQ87" s="34" t="e">
        <f t="shared" si="10"/>
        <v>#VALUE!</v>
      </c>
      <c r="AR87" s="34" t="e">
        <f t="shared" si="11"/>
        <v>#VALUE!</v>
      </c>
      <c r="AS87" s="34" t="e">
        <f t="shared" si="5"/>
        <v>#VALUE!</v>
      </c>
    </row>
    <row r="88" spans="1:45" x14ac:dyDescent="0.2">
      <c r="A88" s="18"/>
      <c r="C88" s="17" t="s">
        <v>54</v>
      </c>
      <c r="D88" s="19">
        <f>[1]TOBEPAID!D68/1000</f>
        <v>39033.642659999998</v>
      </c>
      <c r="E88" s="19">
        <f>[1]TOBEPAID!E68/1000</f>
        <v>0</v>
      </c>
      <c r="F88" s="19">
        <f>[1]TOBEPAID!F68/1000</f>
        <v>0</v>
      </c>
      <c r="G88" s="19">
        <f>[1]TOBEPAID!G68/1000</f>
        <v>0</v>
      </c>
      <c r="H88" s="19">
        <f>[1]TOBEPAID!H68/1000</f>
        <v>0</v>
      </c>
      <c r="I88" s="19">
        <f>[1]TOBEPAID!I68/1000</f>
        <v>0</v>
      </c>
      <c r="J88" s="19">
        <f>[1]TOBEPAID!J68/1000</f>
        <v>0</v>
      </c>
      <c r="K88" s="19">
        <f>[1]TOBEPAID!K68/1000</f>
        <v>0</v>
      </c>
      <c r="L88" s="19">
        <f>[1]TOBEPAID!L68/1000</f>
        <v>0</v>
      </c>
      <c r="M88" s="19">
        <f>[1]TOBEPAID!M68/1000</f>
        <v>0</v>
      </c>
      <c r="N88" s="19">
        <f>[1]TOBEPAID!N68/1000</f>
        <v>0</v>
      </c>
      <c r="O88" s="19">
        <f>[1]TOBEPAID!O68/1000</f>
        <v>2280.4986699999999</v>
      </c>
      <c r="P88" s="19">
        <f>[1]TOBEPAID!P68/1000</f>
        <v>0</v>
      </c>
      <c r="Q88" s="19">
        <f>[1]TOBEPAID!Q68/1000</f>
        <v>0</v>
      </c>
      <c r="R88" s="19">
        <f>[1]TOBEPAID!R68/1000</f>
        <v>2280.4986699999999</v>
      </c>
      <c r="S88" s="19">
        <f>[1]TOBEPAID!S68/1000</f>
        <v>0</v>
      </c>
      <c r="T88" s="19">
        <f>[1]TOBEPAID!T68/1000</f>
        <v>0</v>
      </c>
      <c r="U88" s="19">
        <f>[1]TOBEPAID!U68/1000</f>
        <v>0</v>
      </c>
      <c r="V88" s="19">
        <f>[1]TOBEPAID!V68/1000</f>
        <v>0</v>
      </c>
      <c r="W88" s="19">
        <f>[1]TOBEPAID!W68/1000</f>
        <v>0</v>
      </c>
      <c r="X88" s="19">
        <f>[1]TOBEPAID!X68/1000</f>
        <v>2280.4986699999999</v>
      </c>
      <c r="Y88" s="19">
        <f>[1]TOBEPAID!Y68/1000</f>
        <v>2280.4986699999999</v>
      </c>
      <c r="Z88" s="19">
        <f>[1]TOBEPAID!Z68/1000</f>
        <v>36753.143989999997</v>
      </c>
      <c r="AA88" s="19">
        <f>[1]TOBEPAID!AA68/1000</f>
        <v>2280.4986699999999</v>
      </c>
      <c r="AB88" s="19">
        <f>[1]TOBEPAID!AB68/1000</f>
        <v>36753.143989999997</v>
      </c>
      <c r="AC88" s="19"/>
      <c r="AD88" s="19"/>
      <c r="AE88" s="25" t="s">
        <v>88</v>
      </c>
      <c r="AF88" s="34">
        <f>D14+D44+D89</f>
        <v>4467.5567499999997</v>
      </c>
      <c r="AG88" s="34">
        <f>E14+E44+E89</f>
        <v>0</v>
      </c>
      <c r="AH88" s="34">
        <f>F14+F44+F89</f>
        <v>0</v>
      </c>
      <c r="AI88" s="34">
        <f t="shared" si="6"/>
        <v>0</v>
      </c>
      <c r="AJ88" s="34" t="e">
        <f>L15+L24+L43+L55+L77+L89</f>
        <v>#VALUE!</v>
      </c>
      <c r="AK88" s="34" t="e">
        <f t="shared" si="7"/>
        <v>#VALUE!</v>
      </c>
      <c r="AL88" s="34">
        <f>O14+O44+O89</f>
        <v>0</v>
      </c>
      <c r="AM88" s="34">
        <f>P14+P44+P89</f>
        <v>0</v>
      </c>
      <c r="AN88" s="34">
        <f t="shared" si="8"/>
        <v>0</v>
      </c>
      <c r="AO88" s="34" t="e">
        <f>V15+V24+V43+V55+V77+V89</f>
        <v>#VALUE!</v>
      </c>
      <c r="AP88" s="34" t="e">
        <f t="shared" si="9"/>
        <v>#VALUE!</v>
      </c>
      <c r="AQ88" s="34">
        <f t="shared" si="10"/>
        <v>0</v>
      </c>
      <c r="AR88" s="34">
        <f t="shared" si="11"/>
        <v>4467.5567499999997</v>
      </c>
      <c r="AS88" s="34" t="e">
        <f t="shared" si="5"/>
        <v>#VALUE!</v>
      </c>
    </row>
    <row r="89" spans="1:45" x14ac:dyDescent="0.2">
      <c r="A89" s="18"/>
      <c r="C89" s="17" t="s">
        <v>55</v>
      </c>
      <c r="D89" s="19">
        <f>[1]TOBEPAID!D69/1000</f>
        <v>4467.5567499999997</v>
      </c>
      <c r="E89" s="19">
        <f>[1]TOBEPAID!E69/1000</f>
        <v>0</v>
      </c>
      <c r="F89" s="19">
        <f>[1]TOBEPAID!F69/1000</f>
        <v>0</v>
      </c>
      <c r="G89" s="19">
        <f>[1]TOBEPAID!G69/1000</f>
        <v>0</v>
      </c>
      <c r="H89" s="19">
        <f>[1]TOBEPAID!H69/1000</f>
        <v>0</v>
      </c>
      <c r="I89" s="19">
        <f>[1]TOBEPAID!I69/1000</f>
        <v>0</v>
      </c>
      <c r="J89" s="19">
        <f>[1]TOBEPAID!J69/1000</f>
        <v>0</v>
      </c>
      <c r="K89" s="19">
        <f>[1]TOBEPAID!K69/1000</f>
        <v>0</v>
      </c>
      <c r="L89" s="19">
        <f>[1]TOBEPAID!L69/1000</f>
        <v>0</v>
      </c>
      <c r="M89" s="19">
        <f>[1]TOBEPAID!M69/1000</f>
        <v>0</v>
      </c>
      <c r="N89" s="19">
        <f>[1]TOBEPAID!N69/1000</f>
        <v>0</v>
      </c>
      <c r="O89" s="19">
        <f>[1]TOBEPAID!O69/1000</f>
        <v>0</v>
      </c>
      <c r="P89" s="19">
        <f>[1]TOBEPAID!P69/1000</f>
        <v>0</v>
      </c>
      <c r="Q89" s="19">
        <f>[1]TOBEPAID!Q69/1000</f>
        <v>0</v>
      </c>
      <c r="R89" s="19">
        <f>[1]TOBEPAID!R69/1000</f>
        <v>0</v>
      </c>
      <c r="S89" s="19">
        <f>[1]TOBEPAID!S69/1000</f>
        <v>0</v>
      </c>
      <c r="T89" s="19">
        <f>[1]TOBEPAID!T69/1000</f>
        <v>0</v>
      </c>
      <c r="U89" s="19">
        <f>[1]TOBEPAID!U69/1000</f>
        <v>0</v>
      </c>
      <c r="V89" s="19">
        <f>[1]TOBEPAID!V69/1000</f>
        <v>0</v>
      </c>
      <c r="W89" s="19">
        <f>[1]TOBEPAID!W69/1000</f>
        <v>0</v>
      </c>
      <c r="X89" s="19">
        <f>[1]TOBEPAID!X69/1000</f>
        <v>0</v>
      </c>
      <c r="Y89" s="19">
        <f>[1]TOBEPAID!Y69/1000</f>
        <v>0</v>
      </c>
      <c r="Z89" s="19">
        <f>[1]TOBEPAID!Z69/1000</f>
        <v>4467.5567499999997</v>
      </c>
      <c r="AA89" s="19">
        <f>[1]TOBEPAID!AA69/1000</f>
        <v>0</v>
      </c>
      <c r="AB89" s="19">
        <f>[1]TOBEPAID!AB69/1000</f>
        <v>4467.5567499999997</v>
      </c>
      <c r="AC89" s="19"/>
      <c r="AD89" s="19"/>
      <c r="AE89" s="25" t="s">
        <v>55</v>
      </c>
      <c r="AF89" s="34">
        <f>D42+D74+D87</f>
        <v>26497</v>
      </c>
      <c r="AG89" s="34">
        <f>E42+E74+E87</f>
        <v>26497</v>
      </c>
      <c r="AH89" s="34">
        <f>F42+F74+F87</f>
        <v>0</v>
      </c>
      <c r="AI89" s="34">
        <f t="shared" si="6"/>
        <v>26497</v>
      </c>
      <c r="AJ89" s="34" t="e">
        <f>L16+L25+L44+L56+L78+L90</f>
        <v>#VALUE!</v>
      </c>
      <c r="AK89" s="34" t="e">
        <f t="shared" si="7"/>
        <v>#VALUE!</v>
      </c>
      <c r="AL89" s="34">
        <f>O42+O74+O87</f>
        <v>0</v>
      </c>
      <c r="AM89" s="34" t="e">
        <f>P16+P25+P44+P56+P78+P90</f>
        <v>#VALUE!</v>
      </c>
      <c r="AN89" s="34" t="e">
        <f t="shared" si="8"/>
        <v>#VALUE!</v>
      </c>
      <c r="AO89" s="34" t="e">
        <f>V16+V25+V44+V56+V78+V90</f>
        <v>#VALUE!</v>
      </c>
      <c r="AP89" s="34" t="e">
        <f t="shared" si="9"/>
        <v>#VALUE!</v>
      </c>
      <c r="AQ89" s="34" t="e">
        <f t="shared" si="10"/>
        <v>#VALUE!</v>
      </c>
      <c r="AR89" s="34" t="e">
        <f t="shared" si="11"/>
        <v>#VALUE!</v>
      </c>
      <c r="AS89" s="34" t="e">
        <f t="shared" si="5"/>
        <v>#VALUE!</v>
      </c>
    </row>
    <row r="90" spans="1:45" x14ac:dyDescent="0.2">
      <c r="A90" s="18"/>
      <c r="C90" s="17" t="s">
        <v>89</v>
      </c>
      <c r="D90" s="19">
        <f>[1]TOBEPAID!D70/1000</f>
        <v>10000</v>
      </c>
      <c r="E90" s="19">
        <f>[1]TOBEPAID!E70/1000</f>
        <v>5814.7614299999996</v>
      </c>
      <c r="F90" s="19">
        <f>[1]TOBEPAID!F70/1000</f>
        <v>0</v>
      </c>
      <c r="G90" s="19">
        <f>[1]TOBEPAID!G70/1000</f>
        <v>0</v>
      </c>
      <c r="H90" s="19">
        <f>[1]TOBEPAID!H70/1000</f>
        <v>5814.7614299999996</v>
      </c>
      <c r="I90" s="19">
        <f>[1]TOBEPAID!I70/1000</f>
        <v>0</v>
      </c>
      <c r="J90" s="19">
        <f>[1]TOBEPAID!J70/1000</f>
        <v>0</v>
      </c>
      <c r="K90" s="19">
        <f>[1]TOBEPAID!K70/1000</f>
        <v>0</v>
      </c>
      <c r="L90" s="19">
        <f>[1]TOBEPAID!L70/1000</f>
        <v>0</v>
      </c>
      <c r="M90" s="19">
        <f>[1]TOBEPAID!M70/1000</f>
        <v>0</v>
      </c>
      <c r="N90" s="19">
        <f>[1]TOBEPAID!N70/1000</f>
        <v>5814.7614299999996</v>
      </c>
      <c r="O90" s="19">
        <f>[1]TOBEPAID!O70/1000</f>
        <v>835.22230000000002</v>
      </c>
      <c r="P90" s="19">
        <f>[1]TOBEPAID!P70/1000</f>
        <v>0</v>
      </c>
      <c r="Q90" s="19">
        <f>[1]TOBEPAID!Q70/1000</f>
        <v>0</v>
      </c>
      <c r="R90" s="19">
        <f>[1]TOBEPAID!R70/1000</f>
        <v>835.22230000000002</v>
      </c>
      <c r="S90" s="19">
        <f>[1]TOBEPAID!S70/1000</f>
        <v>0</v>
      </c>
      <c r="T90" s="19">
        <f>[1]TOBEPAID!T70/1000</f>
        <v>0</v>
      </c>
      <c r="U90" s="19">
        <f>[1]TOBEPAID!U70/1000</f>
        <v>0</v>
      </c>
      <c r="V90" s="19">
        <f>[1]TOBEPAID!V70/1000</f>
        <v>0</v>
      </c>
      <c r="W90" s="19">
        <f>[1]TOBEPAID!W70/1000</f>
        <v>0</v>
      </c>
      <c r="X90" s="19">
        <f>[1]TOBEPAID!X70/1000</f>
        <v>835.22230000000002</v>
      </c>
      <c r="Y90" s="19">
        <f>[1]TOBEPAID!Y70/1000</f>
        <v>6649.9837299999999</v>
      </c>
      <c r="Z90" s="19">
        <f>[1]TOBEPAID!Z70/1000</f>
        <v>3350.0162700000005</v>
      </c>
      <c r="AA90" s="19">
        <f>[1]TOBEPAID!AA70/1000</f>
        <v>6649.9837299999999</v>
      </c>
      <c r="AB90" s="19">
        <f>[1]TOBEPAID!AB70/1000</f>
        <v>3350.0162700000005</v>
      </c>
      <c r="AC90" s="19"/>
      <c r="AD90" s="19"/>
      <c r="AE90" s="25" t="s">
        <v>70</v>
      </c>
      <c r="AF90" s="34">
        <f>+D90</f>
        <v>10000</v>
      </c>
      <c r="AG90" s="34">
        <f>+E90</f>
        <v>5814.7614299999996</v>
      </c>
      <c r="AH90" s="34">
        <f>+F90</f>
        <v>0</v>
      </c>
      <c r="AI90" s="34">
        <f t="shared" si="6"/>
        <v>5814.7614299999996</v>
      </c>
      <c r="AJ90" s="34" t="e">
        <f>L17+L26+L45+L57+L79+L91</f>
        <v>#VALUE!</v>
      </c>
      <c r="AK90" s="34" t="e">
        <f t="shared" si="7"/>
        <v>#VALUE!</v>
      </c>
      <c r="AL90" s="34">
        <f>+O90</f>
        <v>835.22230000000002</v>
      </c>
      <c r="AM90" s="34" t="e">
        <f>P17+P26+P45+P57+P79+P91</f>
        <v>#VALUE!</v>
      </c>
      <c r="AN90" s="34" t="e">
        <f t="shared" si="8"/>
        <v>#VALUE!</v>
      </c>
      <c r="AO90" s="34" t="e">
        <f>V17+V26+V45+V57+V79+V91</f>
        <v>#VALUE!</v>
      </c>
      <c r="AP90" s="34" t="e">
        <f t="shared" si="9"/>
        <v>#VALUE!</v>
      </c>
      <c r="AQ90" s="34" t="e">
        <f t="shared" si="10"/>
        <v>#VALUE!</v>
      </c>
      <c r="AR90" s="34" t="e">
        <f t="shared" si="11"/>
        <v>#VALUE!</v>
      </c>
      <c r="AS90" s="34">
        <f t="shared" si="5"/>
        <v>0</v>
      </c>
    </row>
    <row r="91" spans="1:45" x14ac:dyDescent="0.2">
      <c r="A91" s="18"/>
      <c r="D91" s="21" t="s">
        <v>57</v>
      </c>
      <c r="E91" s="21" t="s">
        <v>57</v>
      </c>
      <c r="F91" s="21" t="s">
        <v>57</v>
      </c>
      <c r="G91" s="21"/>
      <c r="H91" s="21" t="s">
        <v>57</v>
      </c>
      <c r="I91" s="21" t="s">
        <v>57</v>
      </c>
      <c r="J91" s="21" t="s">
        <v>57</v>
      </c>
      <c r="K91" s="21" t="s">
        <v>57</v>
      </c>
      <c r="L91" s="21" t="s">
        <v>57</v>
      </c>
      <c r="M91" s="21"/>
      <c r="N91" s="21" t="s">
        <v>57</v>
      </c>
      <c r="O91" s="21" t="s">
        <v>57</v>
      </c>
      <c r="P91" s="21" t="s">
        <v>57</v>
      </c>
      <c r="Q91" s="21"/>
      <c r="R91" s="21" t="s">
        <v>57</v>
      </c>
      <c r="S91" s="21" t="s">
        <v>57</v>
      </c>
      <c r="T91" s="21" t="s">
        <v>57</v>
      </c>
      <c r="U91" s="21" t="s">
        <v>57</v>
      </c>
      <c r="V91" s="21" t="s">
        <v>57</v>
      </c>
      <c r="W91" s="21"/>
      <c r="X91" s="21" t="s">
        <v>57</v>
      </c>
      <c r="Y91" s="21" t="s">
        <v>57</v>
      </c>
      <c r="Z91" s="21" t="s">
        <v>57</v>
      </c>
      <c r="AA91" s="21" t="s">
        <v>57</v>
      </c>
      <c r="AB91" s="21" t="s">
        <v>57</v>
      </c>
      <c r="AC91" s="21"/>
      <c r="AD91" s="21"/>
      <c r="AE91" s="25" t="s">
        <v>90</v>
      </c>
      <c r="AF91" s="34">
        <f>+D75</f>
        <v>11432</v>
      </c>
      <c r="AG91" s="34">
        <f>+E75</f>
        <v>11432</v>
      </c>
      <c r="AH91" s="34">
        <f>+F75</f>
        <v>0</v>
      </c>
      <c r="AI91" s="34">
        <f t="shared" si="6"/>
        <v>11432</v>
      </c>
      <c r="AJ91" s="34">
        <f>+K75</f>
        <v>0</v>
      </c>
      <c r="AK91" s="34">
        <f>+AI91+AJ91</f>
        <v>11432</v>
      </c>
      <c r="AL91" s="34">
        <f>+O75</f>
        <v>0</v>
      </c>
      <c r="AM91" s="34">
        <f>+P75</f>
        <v>0</v>
      </c>
      <c r="AN91" s="34">
        <f t="shared" si="8"/>
        <v>0</v>
      </c>
      <c r="AO91" s="34">
        <f>+V75</f>
        <v>0</v>
      </c>
      <c r="AP91" s="34">
        <f t="shared" si="9"/>
        <v>0</v>
      </c>
      <c r="AQ91" s="34">
        <f t="shared" si="10"/>
        <v>11432</v>
      </c>
      <c r="AR91" s="34">
        <f t="shared" si="11"/>
        <v>0</v>
      </c>
      <c r="AS91" s="34">
        <f t="shared" si="5"/>
        <v>-2.000000017687853E-5</v>
      </c>
    </row>
    <row r="92" spans="1:45" x14ac:dyDescent="0.2">
      <c r="A92" s="18"/>
      <c r="D92" s="19">
        <f>SUM(D83:D90)</f>
        <v>533138.75300999999</v>
      </c>
      <c r="E92" s="19">
        <f>SUM(E83:E90)</f>
        <v>43442.116349999997</v>
      </c>
      <c r="F92" s="19">
        <f>SUM(F83:F90)</f>
        <v>30000</v>
      </c>
      <c r="G92" s="19"/>
      <c r="H92" s="19">
        <f>SUM(H83:H90)</f>
        <v>373442.11635000003</v>
      </c>
      <c r="I92" s="19">
        <f>SUM(I83:I90)</f>
        <v>0</v>
      </c>
      <c r="J92" s="19">
        <f>SUM(J83:J90)</f>
        <v>0</v>
      </c>
      <c r="K92" s="19">
        <f>SUM(K83:K90)</f>
        <v>0</v>
      </c>
      <c r="L92" s="19">
        <f>SUM(L83:L90)</f>
        <v>0</v>
      </c>
      <c r="M92" s="19"/>
      <c r="N92" s="19">
        <f>SUM(N83:N90)</f>
        <v>73442.116349999997</v>
      </c>
      <c r="O92" s="19">
        <f>SUM(O83:O90)</f>
        <v>3199.9642699999999</v>
      </c>
      <c r="P92" s="19">
        <f>SUM(P83:P90)</f>
        <v>0</v>
      </c>
      <c r="Q92" s="19"/>
      <c r="R92" s="19">
        <f>SUM(R83:R90)</f>
        <v>3362.6829399999997</v>
      </c>
      <c r="S92" s="19">
        <f>SUM(S83:S90)</f>
        <v>1154.2370000000001</v>
      </c>
      <c r="T92" s="19">
        <f>SUM(T83:T90)</f>
        <v>0</v>
      </c>
      <c r="U92" s="19">
        <f>SUM(U83:U90)</f>
        <v>0</v>
      </c>
      <c r="V92" s="19">
        <f>SUM(V83:V90)</f>
        <v>0</v>
      </c>
      <c r="W92" s="19"/>
      <c r="X92" s="19">
        <f>SUM(X83:X90)</f>
        <v>3199.9642699999999</v>
      </c>
      <c r="Y92" s="19">
        <f>SUM(Y83:Y90)</f>
        <v>376804.79929</v>
      </c>
      <c r="Z92" s="19">
        <f>SUM(Z83:Z90)</f>
        <v>156333.95371999996</v>
      </c>
      <c r="AA92" s="19">
        <f>SUM(AA83:AA90)</f>
        <v>76642.080619999993</v>
      </c>
      <c r="AB92" s="19">
        <f>SUM(AB83:AB90)</f>
        <v>156496.67238999999</v>
      </c>
      <c r="AC92" s="19"/>
      <c r="AD92" s="19"/>
      <c r="AE92" s="25" t="s">
        <v>91</v>
      </c>
      <c r="AF92" s="34">
        <f>+D33</f>
        <v>1763.9259999999999</v>
      </c>
      <c r="AG92" s="34">
        <f>+E33</f>
        <v>1763.9260200000001</v>
      </c>
      <c r="AH92" s="34">
        <f>+F33</f>
        <v>0</v>
      </c>
      <c r="AI92" s="34">
        <f t="shared" si="6"/>
        <v>1763.9260200000001</v>
      </c>
      <c r="AJ92" s="34">
        <f>+K33</f>
        <v>0</v>
      </c>
      <c r="AK92" s="34">
        <f t="shared" si="7"/>
        <v>1763.9260200000001</v>
      </c>
      <c r="AL92" s="34">
        <f>+O33</f>
        <v>0</v>
      </c>
      <c r="AM92" s="34">
        <f>+P33</f>
        <v>0</v>
      </c>
      <c r="AN92" s="34">
        <f t="shared" si="8"/>
        <v>0</v>
      </c>
      <c r="AO92" s="34">
        <f>+V33</f>
        <v>0</v>
      </c>
      <c r="AP92" s="34">
        <f t="shared" si="9"/>
        <v>0</v>
      </c>
      <c r="AQ92" s="34">
        <f t="shared" si="10"/>
        <v>1763.9260200000001</v>
      </c>
      <c r="AR92" s="34">
        <f t="shared" si="11"/>
        <v>-2.000000017687853E-5</v>
      </c>
    </row>
    <row r="93" spans="1:45" x14ac:dyDescent="0.2">
      <c r="B93" s="3" t="s">
        <v>92</v>
      </c>
      <c r="D93" s="21" t="s">
        <v>57</v>
      </c>
      <c r="E93" s="21" t="s">
        <v>57</v>
      </c>
      <c r="F93" s="21" t="s">
        <v>57</v>
      </c>
      <c r="G93" s="21"/>
      <c r="H93" s="21" t="s">
        <v>57</v>
      </c>
      <c r="I93" s="21" t="s">
        <v>57</v>
      </c>
      <c r="J93" s="21" t="s">
        <v>57</v>
      </c>
      <c r="K93" s="21" t="s">
        <v>57</v>
      </c>
      <c r="L93" s="21" t="s">
        <v>57</v>
      </c>
      <c r="M93" s="21"/>
      <c r="N93" s="21" t="s">
        <v>57</v>
      </c>
      <c r="O93" s="21" t="s">
        <v>57</v>
      </c>
      <c r="P93" s="21" t="s">
        <v>57</v>
      </c>
      <c r="Q93" s="21"/>
      <c r="R93" s="21" t="s">
        <v>57</v>
      </c>
      <c r="S93" s="21" t="s">
        <v>57</v>
      </c>
      <c r="T93" s="21" t="s">
        <v>57</v>
      </c>
      <c r="U93" s="21" t="s">
        <v>57</v>
      </c>
      <c r="V93" s="21" t="s">
        <v>57</v>
      </c>
      <c r="W93" s="21"/>
      <c r="X93" s="21" t="s">
        <v>57</v>
      </c>
      <c r="Y93" s="21" t="s">
        <v>57</v>
      </c>
      <c r="Z93" s="21" t="s">
        <v>57</v>
      </c>
      <c r="AA93" s="21" t="s">
        <v>57</v>
      </c>
      <c r="AB93" s="21" t="s">
        <v>57</v>
      </c>
      <c r="AC93" s="21"/>
      <c r="AD93" s="21"/>
      <c r="AE93" s="36" t="s">
        <v>61</v>
      </c>
      <c r="AS93" s="34" t="e">
        <f>SUM(AS79:AS91)</f>
        <v>#REF!</v>
      </c>
    </row>
    <row r="94" spans="1:45" ht="15.75" thickBot="1" x14ac:dyDescent="0.25">
      <c r="B94" s="22" t="s">
        <v>58</v>
      </c>
      <c r="D94" s="37">
        <f>61787/1000</f>
        <v>61.786999999999999</v>
      </c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7">
        <v>61787</v>
      </c>
      <c r="P94" s="38"/>
      <c r="Q94" s="30"/>
      <c r="R94" s="37">
        <f>+D94</f>
        <v>61.786999999999999</v>
      </c>
      <c r="S94" s="30"/>
      <c r="T94" s="30"/>
      <c r="U94" s="30"/>
      <c r="V94" s="30"/>
      <c r="W94" s="30"/>
      <c r="X94" s="30"/>
      <c r="Y94" s="37">
        <f>+H94+R94</f>
        <v>61.786999999999999</v>
      </c>
      <c r="Z94" s="37">
        <f>+D94-Y94</f>
        <v>0</v>
      </c>
      <c r="AA94" s="30"/>
      <c r="AB94" s="30"/>
      <c r="AC94" s="30"/>
      <c r="AD94" s="30"/>
      <c r="AF94" s="34" t="e">
        <f t="shared" ref="AF94:AR94" si="12">SUM(AF80:AF92)</f>
        <v>#REF!</v>
      </c>
      <c r="AG94" s="34" t="e">
        <f t="shared" si="12"/>
        <v>#REF!</v>
      </c>
      <c r="AH94" s="34" t="e">
        <f t="shared" si="12"/>
        <v>#REF!</v>
      </c>
      <c r="AI94" s="34" t="e">
        <f t="shared" si="12"/>
        <v>#REF!</v>
      </c>
      <c r="AJ94" s="34" t="e">
        <f t="shared" si="12"/>
        <v>#REF!</v>
      </c>
      <c r="AK94" s="34" t="e">
        <f t="shared" si="12"/>
        <v>#REF!</v>
      </c>
      <c r="AL94" s="34" t="e">
        <f t="shared" si="12"/>
        <v>#REF!</v>
      </c>
      <c r="AM94" s="34" t="e">
        <f t="shared" si="12"/>
        <v>#VALUE!</v>
      </c>
      <c r="AN94" s="34" t="e">
        <f t="shared" si="12"/>
        <v>#REF!</v>
      </c>
      <c r="AO94" s="34" t="e">
        <f t="shared" si="12"/>
        <v>#VALUE!</v>
      </c>
      <c r="AP94" s="34" t="e">
        <f t="shared" si="12"/>
        <v>#REF!</v>
      </c>
      <c r="AQ94" s="34" t="e">
        <f t="shared" si="12"/>
        <v>#REF!</v>
      </c>
      <c r="AR94" s="34" t="e">
        <f t="shared" si="12"/>
        <v>#REF!</v>
      </c>
    </row>
    <row r="95" spans="1:45" ht="15.75" thickTop="1" x14ac:dyDescent="0.2">
      <c r="A95" s="18"/>
      <c r="B95" s="8" t="s">
        <v>29</v>
      </c>
      <c r="C95" s="17" t="s">
        <v>49</v>
      </c>
      <c r="D95" s="19">
        <f>D92+D80+D55+D47+D25+D17</f>
        <v>6175650.9122200012</v>
      </c>
      <c r="E95" s="19">
        <f>E92+E80+E55+E47+E25+E17</f>
        <v>125982.24082000001</v>
      </c>
      <c r="F95" s="19">
        <f>F92+F80+F55+F47+F25+F17</f>
        <v>60000</v>
      </c>
      <c r="G95" s="19"/>
      <c r="H95" s="19">
        <f>H92+H80+H55+H47+H25+H17</f>
        <v>5779846.5245200004</v>
      </c>
      <c r="I95" s="19">
        <f>I92+I80+I55+I47+I25+I17</f>
        <v>0</v>
      </c>
      <c r="J95" s="19">
        <f>J92+J80+J55+J47+J25+J17</f>
        <v>0</v>
      </c>
      <c r="K95" s="19">
        <f>K92+K80+K55+K47+K25+K17</f>
        <v>0</v>
      </c>
      <c r="L95" s="19">
        <f>L92+L80+L55+L47+L25+L17</f>
        <v>0</v>
      </c>
      <c r="M95" s="19"/>
      <c r="N95" s="19">
        <f>N92+N80+N55+N47+N25+N17</f>
        <v>185982.24081999998</v>
      </c>
      <c r="O95" s="19">
        <f>O92+O80+O55+O47+O25+O17</f>
        <v>29010.53615</v>
      </c>
      <c r="P95" s="19" t="e">
        <f>+P16+P15+P47+P55+P80+P92</f>
        <v>#VALUE!</v>
      </c>
      <c r="Q95" s="19"/>
      <c r="R95" s="19">
        <f>R92+R80+R55+R47+R25+R17</f>
        <v>32209.215660000002</v>
      </c>
      <c r="S95" s="19">
        <f>S92+S80+S55+S47+S25+S17</f>
        <v>11620.82186</v>
      </c>
      <c r="T95" s="19">
        <f>T92+T80+T55+T47+T25+T17</f>
        <v>5298.8419599999997</v>
      </c>
      <c r="U95" s="19">
        <f>U92+U80+U55+U47+U25+U17</f>
        <v>0</v>
      </c>
      <c r="V95" s="19">
        <f>V92+V80+V55+V47+V25+V17</f>
        <v>0</v>
      </c>
      <c r="W95" s="19"/>
      <c r="X95" s="19">
        <f>X92+X80+X55+X47+X25+X17</f>
        <v>29533.378549999998</v>
      </c>
      <c r="Y95" s="19">
        <f>Y92+Y80+Y55+Y47+Y25+Y17</f>
        <v>5812055.7401800007</v>
      </c>
      <c r="Z95" s="19">
        <f>Z92+Z80+Z55+Z47+Z25+Z17</f>
        <v>363595.56877999991</v>
      </c>
      <c r="AA95" s="19">
        <f>AA92+AA80+AA55+AA47+AA25+AA17</f>
        <v>215515.61937</v>
      </c>
      <c r="AB95" s="19">
        <f>AB92+AB80+AB55+AB47+AB25+AB17</f>
        <v>489534.66605</v>
      </c>
      <c r="AC95" s="19"/>
      <c r="AD95" s="19"/>
    </row>
    <row r="96" spans="1:45" x14ac:dyDescent="0.2">
      <c r="A96" s="18"/>
      <c r="D96" s="21" t="s">
        <v>93</v>
      </c>
      <c r="E96" s="21" t="s">
        <v>93</v>
      </c>
      <c r="F96" s="21" t="s">
        <v>93</v>
      </c>
      <c r="G96" s="21"/>
      <c r="H96" s="21" t="s">
        <v>93</v>
      </c>
      <c r="I96" s="21" t="s">
        <v>93</v>
      </c>
      <c r="J96" s="21" t="s">
        <v>93</v>
      </c>
      <c r="K96" s="21" t="s">
        <v>93</v>
      </c>
      <c r="L96" s="21" t="s">
        <v>93</v>
      </c>
      <c r="M96" s="21"/>
      <c r="N96" s="21" t="s">
        <v>93</v>
      </c>
      <c r="O96" s="21" t="s">
        <v>93</v>
      </c>
      <c r="P96" s="21" t="s">
        <v>93</v>
      </c>
      <c r="Q96" s="21"/>
      <c r="R96" s="21" t="s">
        <v>93</v>
      </c>
      <c r="S96" s="21" t="s">
        <v>93</v>
      </c>
      <c r="T96" s="21" t="s">
        <v>93</v>
      </c>
      <c r="U96" s="21" t="s">
        <v>93</v>
      </c>
      <c r="V96" s="21" t="s">
        <v>93</v>
      </c>
      <c r="W96" s="21"/>
      <c r="X96" s="21" t="s">
        <v>93</v>
      </c>
      <c r="Y96" s="21" t="s">
        <v>93</v>
      </c>
      <c r="Z96" s="21" t="s">
        <v>93</v>
      </c>
      <c r="AA96" s="21" t="s">
        <v>93</v>
      </c>
      <c r="AB96" s="21" t="s">
        <v>93</v>
      </c>
      <c r="AC96" s="21"/>
      <c r="AD96" s="21"/>
    </row>
    <row r="97" spans="1:30" x14ac:dyDescent="0.2">
      <c r="A97" s="18"/>
      <c r="D97" s="38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</row>
    <row r="98" spans="1:30" x14ac:dyDescent="0.2">
      <c r="A98" s="18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</row>
    <row r="99" spans="1:30" x14ac:dyDescent="0.2">
      <c r="B99" s="17" t="s">
        <v>94</v>
      </c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</row>
    <row r="100" spans="1:30" x14ac:dyDescent="0.2">
      <c r="A100" s="18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</row>
    <row r="101" spans="1:30" x14ac:dyDescent="0.2">
      <c r="A101" s="18">
        <v>7</v>
      </c>
      <c r="B101" s="17" t="s">
        <v>95</v>
      </c>
      <c r="C101" s="20" t="s">
        <v>51</v>
      </c>
      <c r="D101" s="19">
        <v>0</v>
      </c>
      <c r="E101" s="19">
        <f>[1]TOBEPAID!E82/1000</f>
        <v>0</v>
      </c>
      <c r="F101" s="19">
        <f>[1]TOBEPAID!F82/1000</f>
        <v>0</v>
      </c>
      <c r="G101" s="19">
        <f>[1]TOBEPAID!G82/1000</f>
        <v>0</v>
      </c>
      <c r="H101" s="19">
        <v>0</v>
      </c>
      <c r="I101" s="19">
        <f>[1]TOBEPAID!I82/1000</f>
        <v>0</v>
      </c>
      <c r="J101" s="19">
        <f>[1]TOBEPAID!J82/1000</f>
        <v>0</v>
      </c>
      <c r="K101" s="19">
        <f>[1]TOBEPAID!K82/1000</f>
        <v>0</v>
      </c>
      <c r="L101" s="19">
        <f>[1]TOBEPAID!L82/1000</f>
        <v>0</v>
      </c>
      <c r="M101" s="19">
        <f>[1]TOBEPAID!M82/1000</f>
        <v>0</v>
      </c>
      <c r="N101" s="19">
        <f>[1]TOBEPAID!N82/1000</f>
        <v>0</v>
      </c>
      <c r="O101" s="19">
        <f>[1]TOBEPAID!O82/1000</f>
        <v>0</v>
      </c>
      <c r="P101" s="19">
        <f>[1]TOBEPAID!P82/1000</f>
        <v>0</v>
      </c>
      <c r="Q101" s="19">
        <f>[1]TOBEPAID!Q82/1000</f>
        <v>0</v>
      </c>
      <c r="R101" s="19">
        <v>0</v>
      </c>
      <c r="S101" s="19">
        <f>[1]TOBEPAID!S82/1000</f>
        <v>0</v>
      </c>
      <c r="T101" s="19">
        <f>[1]TOBEPAID!T82/1000</f>
        <v>0</v>
      </c>
      <c r="U101" s="19">
        <f>[1]TOBEPAID!U82/1000</f>
        <v>0</v>
      </c>
      <c r="V101" s="19">
        <f>[1]TOBEPAID!V82/1000</f>
        <v>0</v>
      </c>
      <c r="W101" s="19">
        <f>[1]TOBEPAID!W82/1000</f>
        <v>0</v>
      </c>
      <c r="X101" s="19">
        <f>[1]TOBEPAID!X82/1000</f>
        <v>0</v>
      </c>
      <c r="Y101" s="19">
        <f t="shared" ref="Y101:Y106" si="13">+H101+R101</f>
        <v>0</v>
      </c>
      <c r="Z101" s="19">
        <f t="shared" ref="Z101:Z106" si="14">+D101-Y101</f>
        <v>0</v>
      </c>
      <c r="AA101" s="19">
        <f>[1]TOBEPAID!AA82/1000</f>
        <v>0</v>
      </c>
      <c r="AB101" s="19">
        <f>[1]TOBEPAID!AB82/1000</f>
        <v>0</v>
      </c>
      <c r="AC101" s="19"/>
      <c r="AD101" s="19"/>
    </row>
    <row r="102" spans="1:30" x14ac:dyDescent="0.2">
      <c r="C102" s="20" t="s">
        <v>52</v>
      </c>
      <c r="D102" s="19">
        <f>1235420/1000</f>
        <v>1235.42</v>
      </c>
      <c r="E102" s="19">
        <f>[1]TOBEPAID!E83/1000</f>
        <v>1235.4207699999999</v>
      </c>
      <c r="F102" s="19">
        <f>[1]TOBEPAID!F83/1000</f>
        <v>0</v>
      </c>
      <c r="G102" s="19">
        <f>[1]TOBEPAID!G83/1000</f>
        <v>0</v>
      </c>
      <c r="H102" s="19">
        <f>1235420/1000</f>
        <v>1235.42</v>
      </c>
      <c r="I102" s="19">
        <f>[1]TOBEPAID!I83/1000</f>
        <v>0</v>
      </c>
      <c r="J102" s="19">
        <f>[1]TOBEPAID!J83/1000</f>
        <v>0</v>
      </c>
      <c r="K102" s="19">
        <f>[1]TOBEPAID!K83/1000</f>
        <v>0</v>
      </c>
      <c r="L102" s="19">
        <f>[1]TOBEPAID!L83/1000</f>
        <v>0</v>
      </c>
      <c r="M102" s="19">
        <f>[1]TOBEPAID!M83/1000</f>
        <v>0</v>
      </c>
      <c r="N102" s="19">
        <f>[1]TOBEPAID!N83/1000</f>
        <v>1235.4207699999999</v>
      </c>
      <c r="O102" s="19">
        <f>[1]TOBEPAID!O83/1000</f>
        <v>0</v>
      </c>
      <c r="P102" s="19">
        <f>[1]TOBEPAID!P83/1000</f>
        <v>0</v>
      </c>
      <c r="Q102" s="19">
        <f>[1]TOBEPAID!Q83/1000</f>
        <v>0</v>
      </c>
      <c r="R102" s="19">
        <v>0</v>
      </c>
      <c r="S102" s="19">
        <f>[1]TOBEPAID!S83/1000</f>
        <v>0</v>
      </c>
      <c r="T102" s="19">
        <f>[1]TOBEPAID!T83/1000</f>
        <v>0</v>
      </c>
      <c r="U102" s="19">
        <f>[1]TOBEPAID!U83/1000</f>
        <v>0</v>
      </c>
      <c r="V102" s="19">
        <f>[1]TOBEPAID!V83/1000</f>
        <v>0</v>
      </c>
      <c r="W102" s="19">
        <f>[1]TOBEPAID!W83/1000</f>
        <v>0</v>
      </c>
      <c r="X102" s="19">
        <f>[1]TOBEPAID!X83/1000</f>
        <v>0</v>
      </c>
      <c r="Y102" s="19">
        <f t="shared" si="13"/>
        <v>1235.42</v>
      </c>
      <c r="Z102" s="19">
        <f t="shared" si="14"/>
        <v>0</v>
      </c>
      <c r="AA102" s="19">
        <f>[1]TOBEPAID!AA83/1000</f>
        <v>1235.4207699999999</v>
      </c>
      <c r="AB102" s="19">
        <f>[1]TOBEPAID!AB83/1000</f>
        <v>0</v>
      </c>
      <c r="AC102" s="19"/>
      <c r="AD102" s="19"/>
    </row>
    <row r="103" spans="1:30" x14ac:dyDescent="0.2">
      <c r="C103" s="3" t="s">
        <v>62</v>
      </c>
      <c r="D103" s="19">
        <f>4774698/1000</f>
        <v>4774.6980000000003</v>
      </c>
      <c r="E103" s="19">
        <f>[1]TOBEPAID!E84/1000</f>
        <v>4774.6986500000003</v>
      </c>
      <c r="F103" s="19">
        <f>[1]TOBEPAID!F84/1000</f>
        <v>0</v>
      </c>
      <c r="G103" s="19">
        <f>[1]TOBEPAID!G84/1000</f>
        <v>0</v>
      </c>
      <c r="H103" s="19">
        <f>4774698/1000</f>
        <v>4774.6980000000003</v>
      </c>
      <c r="I103" s="19">
        <f>[1]TOBEPAID!I84/1000</f>
        <v>0</v>
      </c>
      <c r="J103" s="19">
        <f>[1]TOBEPAID!J84/1000</f>
        <v>0</v>
      </c>
      <c r="K103" s="19">
        <f>[1]TOBEPAID!K84/1000</f>
        <v>0</v>
      </c>
      <c r="L103" s="19">
        <f>[1]TOBEPAID!L84/1000</f>
        <v>0</v>
      </c>
      <c r="M103" s="19">
        <f>[1]TOBEPAID!M84/1000</f>
        <v>0</v>
      </c>
      <c r="N103" s="19">
        <f>[1]TOBEPAID!N84/1000</f>
        <v>4774.6986500000003</v>
      </c>
      <c r="O103" s="19">
        <f>[1]TOBEPAID!O84/1000</f>
        <v>0</v>
      </c>
      <c r="P103" s="19">
        <f>[1]TOBEPAID!P84/1000</f>
        <v>0</v>
      </c>
      <c r="Q103" s="19">
        <f>[1]TOBEPAID!Q84/1000</f>
        <v>0</v>
      </c>
      <c r="R103" s="19">
        <v>0</v>
      </c>
      <c r="S103" s="19">
        <f>[1]TOBEPAID!S84/1000</f>
        <v>0</v>
      </c>
      <c r="T103" s="19">
        <f>[1]TOBEPAID!T84/1000</f>
        <v>0</v>
      </c>
      <c r="U103" s="19">
        <f>[1]TOBEPAID!U84/1000</f>
        <v>0</v>
      </c>
      <c r="V103" s="19">
        <f>[1]TOBEPAID!V84/1000</f>
        <v>0</v>
      </c>
      <c r="W103" s="19">
        <f>[1]TOBEPAID!W84/1000</f>
        <v>0</v>
      </c>
      <c r="X103" s="19">
        <f>[1]TOBEPAID!X84/1000</f>
        <v>0</v>
      </c>
      <c r="Y103" s="19">
        <f t="shared" si="13"/>
        <v>4774.6980000000003</v>
      </c>
      <c r="Z103" s="19">
        <f t="shared" si="14"/>
        <v>0</v>
      </c>
      <c r="AA103" s="19">
        <f>[1]TOBEPAID!AA84/1000</f>
        <v>4774.6986500000003</v>
      </c>
      <c r="AB103" s="19">
        <f>[1]TOBEPAID!AB84/1000</f>
        <v>0</v>
      </c>
      <c r="AC103" s="19"/>
      <c r="AD103" s="19"/>
    </row>
    <row r="104" spans="1:30" x14ac:dyDescent="0.2">
      <c r="A104" s="18"/>
      <c r="C104" s="17" t="s">
        <v>96</v>
      </c>
      <c r="D104" s="19">
        <f>6932369/1000</f>
        <v>6932.3689999999997</v>
      </c>
      <c r="E104" s="19">
        <f>[1]TOBEPAID!E85/1000</f>
        <v>0</v>
      </c>
      <c r="F104" s="19">
        <f>[1]TOBEPAID!F85/1000</f>
        <v>0</v>
      </c>
      <c r="G104" s="19">
        <f>[1]TOBEPAID!G85/1000</f>
        <v>0</v>
      </c>
      <c r="H104" s="19">
        <v>0</v>
      </c>
      <c r="I104" s="19">
        <f>[1]TOBEPAID!I85/1000</f>
        <v>0</v>
      </c>
      <c r="J104" s="19">
        <f>[1]TOBEPAID!J85/1000</f>
        <v>0</v>
      </c>
      <c r="K104" s="19">
        <f>[1]TOBEPAID!K85/1000</f>
        <v>0</v>
      </c>
      <c r="L104" s="19">
        <f>[1]TOBEPAID!L85/1000</f>
        <v>0</v>
      </c>
      <c r="M104" s="19">
        <f>[1]TOBEPAID!M85/1000</f>
        <v>0</v>
      </c>
      <c r="N104" s="19">
        <f>[1]TOBEPAID!N85/1000</f>
        <v>0</v>
      </c>
      <c r="O104" s="19">
        <f>[1]TOBEPAID!O85/1000</f>
        <v>6711.4495999999999</v>
      </c>
      <c r="P104" s="19">
        <f>[1]TOBEPAID!P85/1000</f>
        <v>0</v>
      </c>
      <c r="Q104" s="19">
        <f>[1]TOBEPAID!Q85/1000</f>
        <v>0</v>
      </c>
      <c r="R104" s="19">
        <f>6711446/1000</f>
        <v>6711.4459999999999</v>
      </c>
      <c r="S104" s="19">
        <f>[1]TOBEPAID!S85/1000</f>
        <v>0</v>
      </c>
      <c r="T104" s="19">
        <f>[1]TOBEPAID!T85/1000</f>
        <v>0</v>
      </c>
      <c r="U104" s="19">
        <f>[1]TOBEPAID!U85/1000</f>
        <v>0</v>
      </c>
      <c r="V104" s="19">
        <f>[1]TOBEPAID!V85/1000</f>
        <v>0</v>
      </c>
      <c r="W104" s="19">
        <f>[1]TOBEPAID!W85/1000</f>
        <v>0</v>
      </c>
      <c r="X104" s="19">
        <f>[1]TOBEPAID!X85/1000</f>
        <v>6711.4495999999999</v>
      </c>
      <c r="Y104" s="19">
        <f t="shared" si="13"/>
        <v>6711.4459999999999</v>
      </c>
      <c r="Z104" s="19">
        <f t="shared" si="14"/>
        <v>220.92299999999977</v>
      </c>
      <c r="AA104" s="19">
        <f>[1]TOBEPAID!AA85/1000</f>
        <v>6711.4495999999999</v>
      </c>
      <c r="AB104" s="19">
        <f>[1]TOBEPAID!AB85/1000</f>
        <v>220.92005999999958</v>
      </c>
      <c r="AC104" s="19"/>
      <c r="AD104" s="19"/>
    </row>
    <row r="105" spans="1:30" x14ac:dyDescent="0.2">
      <c r="A105" s="18"/>
      <c r="C105" s="17" t="s">
        <v>97</v>
      </c>
      <c r="D105" s="19">
        <f>10712833/1000</f>
        <v>10712.833000000001</v>
      </c>
      <c r="E105" s="19">
        <f>[1]TOBEPAID!E86/1000</f>
        <v>0</v>
      </c>
      <c r="F105" s="19">
        <f>[1]TOBEPAID!F86/1000</f>
        <v>0</v>
      </c>
      <c r="G105" s="19">
        <f>[1]TOBEPAID!G86/1000</f>
        <v>0</v>
      </c>
      <c r="H105" s="19">
        <v>0</v>
      </c>
      <c r="I105" s="19">
        <f>[1]TOBEPAID!I86/1000</f>
        <v>0</v>
      </c>
      <c r="J105" s="19">
        <f>[1]TOBEPAID!J86/1000</f>
        <v>0</v>
      </c>
      <c r="K105" s="19">
        <f>[1]TOBEPAID!K86/1000</f>
        <v>0</v>
      </c>
      <c r="L105" s="19">
        <f>[1]TOBEPAID!L86/1000</f>
        <v>0</v>
      </c>
      <c r="M105" s="19">
        <f>[1]TOBEPAID!M86/1000</f>
        <v>0</v>
      </c>
      <c r="N105" s="19">
        <f>[1]TOBEPAID!N86/1000</f>
        <v>0</v>
      </c>
      <c r="O105" s="19">
        <f>[1]TOBEPAID!O86/1000</f>
        <v>10712.83353</v>
      </c>
      <c r="P105" s="19">
        <f>[1]TOBEPAID!P86/1000</f>
        <v>0</v>
      </c>
      <c r="Q105" s="19">
        <f>[1]TOBEPAID!Q86/1000</f>
        <v>0</v>
      </c>
      <c r="R105" s="19">
        <f>10712833/1000</f>
        <v>10712.833000000001</v>
      </c>
      <c r="S105" s="19">
        <f>[1]TOBEPAID!S86/1000</f>
        <v>0</v>
      </c>
      <c r="T105" s="19">
        <f>[1]TOBEPAID!T86/1000</f>
        <v>0</v>
      </c>
      <c r="U105" s="19">
        <f>[1]TOBEPAID!U86/1000</f>
        <v>0</v>
      </c>
      <c r="V105" s="19">
        <f>[1]TOBEPAID!V86/1000</f>
        <v>0</v>
      </c>
      <c r="W105" s="19">
        <f>[1]TOBEPAID!W86/1000</f>
        <v>0</v>
      </c>
      <c r="X105" s="19">
        <f>[1]TOBEPAID!X86/1000</f>
        <v>10712.83353</v>
      </c>
      <c r="Y105" s="19">
        <f t="shared" si="13"/>
        <v>10712.833000000001</v>
      </c>
      <c r="Z105" s="19">
        <f t="shared" si="14"/>
        <v>0</v>
      </c>
      <c r="AA105" s="19">
        <f>[1]TOBEPAID!AA86/1000</f>
        <v>10712.83353</v>
      </c>
      <c r="AB105" s="19">
        <f>[1]TOBEPAID!AB86/1000</f>
        <v>0</v>
      </c>
      <c r="AC105" s="19"/>
      <c r="AD105" s="19"/>
    </row>
    <row r="106" spans="1:30" x14ac:dyDescent="0.2">
      <c r="A106" s="18"/>
      <c r="C106" s="20" t="s">
        <v>98</v>
      </c>
      <c r="D106" s="19">
        <f>5000000/1000</f>
        <v>5000</v>
      </c>
      <c r="E106" s="19">
        <f>[1]TOBEPAID!E87/1000</f>
        <v>5000</v>
      </c>
      <c r="F106" s="19">
        <f>[1]TOBEPAID!F87/1000</f>
        <v>0</v>
      </c>
      <c r="G106" s="19">
        <f>[1]TOBEPAID!G87/1000</f>
        <v>0</v>
      </c>
      <c r="H106" s="19">
        <f>5000000/1000</f>
        <v>5000</v>
      </c>
      <c r="I106" s="19">
        <f>[1]TOBEPAID!I87/1000</f>
        <v>0</v>
      </c>
      <c r="J106" s="19">
        <f>[1]TOBEPAID!J87/1000</f>
        <v>0</v>
      </c>
      <c r="K106" s="19">
        <f>[1]TOBEPAID!K87/1000</f>
        <v>0</v>
      </c>
      <c r="L106" s="19">
        <f>[1]TOBEPAID!L87/1000</f>
        <v>0</v>
      </c>
      <c r="M106" s="19">
        <f>[1]TOBEPAID!M87/1000</f>
        <v>0</v>
      </c>
      <c r="N106" s="19">
        <f>[1]TOBEPAID!N87/1000</f>
        <v>5000</v>
      </c>
      <c r="O106" s="19">
        <f>[1]TOBEPAID!O87/1000</f>
        <v>0</v>
      </c>
      <c r="P106" s="19">
        <f>[1]TOBEPAID!P87/1000</f>
        <v>0</v>
      </c>
      <c r="Q106" s="19">
        <f>[1]TOBEPAID!Q87/1000</f>
        <v>0</v>
      </c>
      <c r="R106" s="19">
        <v>0</v>
      </c>
      <c r="S106" s="19">
        <f>[1]TOBEPAID!S87/1000</f>
        <v>0</v>
      </c>
      <c r="T106" s="19">
        <f>[1]TOBEPAID!T87/1000</f>
        <v>0</v>
      </c>
      <c r="U106" s="19">
        <f>[1]TOBEPAID!U87/1000</f>
        <v>0</v>
      </c>
      <c r="V106" s="19">
        <f>[1]TOBEPAID!V87/1000</f>
        <v>0</v>
      </c>
      <c r="W106" s="19">
        <f>[1]TOBEPAID!W87/1000</f>
        <v>0</v>
      </c>
      <c r="X106" s="19">
        <f>[1]TOBEPAID!X87/1000</f>
        <v>0</v>
      </c>
      <c r="Y106" s="19">
        <f t="shared" si="13"/>
        <v>5000</v>
      </c>
      <c r="Z106" s="19">
        <f t="shared" si="14"/>
        <v>0</v>
      </c>
      <c r="AA106" s="19">
        <f>[1]TOBEPAID!AA87/1000</f>
        <v>5000</v>
      </c>
      <c r="AB106" s="19">
        <f>[1]TOBEPAID!AB87/1000</f>
        <v>0</v>
      </c>
      <c r="AC106" s="19"/>
      <c r="AD106" s="19"/>
    </row>
    <row r="107" spans="1:30" x14ac:dyDescent="0.2">
      <c r="A107" s="18"/>
      <c r="D107" s="21" t="s">
        <v>57</v>
      </c>
      <c r="E107" s="21" t="s">
        <v>57</v>
      </c>
      <c r="F107" s="21" t="s">
        <v>57</v>
      </c>
      <c r="G107" s="21"/>
      <c r="H107" s="21" t="s">
        <v>57</v>
      </c>
      <c r="I107" s="21" t="s">
        <v>57</v>
      </c>
      <c r="J107" s="21" t="s">
        <v>57</v>
      </c>
      <c r="K107" s="21" t="s">
        <v>57</v>
      </c>
      <c r="L107" s="21" t="s">
        <v>57</v>
      </c>
      <c r="M107" s="21"/>
      <c r="N107" s="21" t="s">
        <v>57</v>
      </c>
      <c r="O107" s="21" t="s">
        <v>57</v>
      </c>
      <c r="P107" s="21" t="s">
        <v>57</v>
      </c>
      <c r="Q107" s="21"/>
      <c r="R107" s="21" t="s">
        <v>57</v>
      </c>
      <c r="S107" s="21" t="s">
        <v>57</v>
      </c>
      <c r="T107" s="21" t="s">
        <v>57</v>
      </c>
      <c r="U107" s="21" t="s">
        <v>57</v>
      </c>
      <c r="V107" s="21" t="s">
        <v>57</v>
      </c>
      <c r="W107" s="21"/>
      <c r="X107" s="21" t="s">
        <v>57</v>
      </c>
      <c r="Y107" s="21" t="s">
        <v>57</v>
      </c>
      <c r="Z107" s="21" t="s">
        <v>57</v>
      </c>
      <c r="AA107" s="21" t="s">
        <v>57</v>
      </c>
      <c r="AB107" s="21" t="s">
        <v>57</v>
      </c>
      <c r="AC107" s="21"/>
      <c r="AD107" s="21"/>
    </row>
    <row r="108" spans="1:30" x14ac:dyDescent="0.2">
      <c r="A108" s="18"/>
      <c r="B108" s="9"/>
      <c r="D108" s="19">
        <f>SUM(D101:D106)</f>
        <v>28655.32</v>
      </c>
      <c r="E108" s="19">
        <f>SUM(E101:E106)</f>
        <v>11010.119419999999</v>
      </c>
      <c r="F108" s="19">
        <f>SUM(F101:F106)</f>
        <v>0</v>
      </c>
      <c r="G108" s="19"/>
      <c r="H108" s="19">
        <f>SUM(H101:H106)</f>
        <v>11010.118</v>
      </c>
      <c r="I108" s="19">
        <f>SUM(I101:I106)</f>
        <v>0</v>
      </c>
      <c r="J108" s="19">
        <f>SUM(J101:J106)</f>
        <v>0</v>
      </c>
      <c r="K108" s="19">
        <f>SUM(K101:K106)</f>
        <v>0</v>
      </c>
      <c r="L108" s="19">
        <f>SUM(L101:L106)</f>
        <v>0</v>
      </c>
      <c r="M108" s="19"/>
      <c r="N108" s="19">
        <f>SUM(N101:N106)</f>
        <v>11010.119419999999</v>
      </c>
      <c r="O108" s="19">
        <f>SUM(O101:O106)</f>
        <v>17424.28313</v>
      </c>
      <c r="P108" s="19">
        <f>SUM(P101:P106)</f>
        <v>0</v>
      </c>
      <c r="Q108" s="19"/>
      <c r="R108" s="19">
        <f>SUM(R101:R106)</f>
        <v>17424.279000000002</v>
      </c>
      <c r="S108" s="19">
        <f>SUM(S101:S106)</f>
        <v>0</v>
      </c>
      <c r="T108" s="19">
        <f>SUM(T101:T106)</f>
        <v>0</v>
      </c>
      <c r="U108" s="19">
        <f>SUM(U101:U106)</f>
        <v>0</v>
      </c>
      <c r="V108" s="19">
        <f>SUM(V101:V106)</f>
        <v>0</v>
      </c>
      <c r="W108" s="19"/>
      <c r="X108" s="19">
        <f>SUM(X101:X106)</f>
        <v>17424.28313</v>
      </c>
      <c r="Y108" s="19">
        <f>SUM(Y101:Y106)</f>
        <v>28434.397000000001</v>
      </c>
      <c r="Z108" s="19">
        <f>SUM(Z101:Z106)</f>
        <v>220.92299999999977</v>
      </c>
      <c r="AA108" s="19">
        <f>SUM(AA101:AA106)</f>
        <v>28434.402549999999</v>
      </c>
      <c r="AB108" s="19">
        <f>SUM(AB101:AB106)</f>
        <v>220.92005999999958</v>
      </c>
      <c r="AC108" s="19"/>
      <c r="AD108" s="19"/>
    </row>
    <row r="109" spans="1:30" x14ac:dyDescent="0.2">
      <c r="A109" s="18"/>
      <c r="B109" s="9"/>
      <c r="D109" s="21" t="s">
        <v>57</v>
      </c>
      <c r="E109" s="21" t="s">
        <v>57</v>
      </c>
      <c r="F109" s="21" t="s">
        <v>57</v>
      </c>
      <c r="G109" s="21"/>
      <c r="H109" s="21" t="s">
        <v>57</v>
      </c>
      <c r="I109" s="21" t="s">
        <v>57</v>
      </c>
      <c r="J109" s="21" t="s">
        <v>57</v>
      </c>
      <c r="K109" s="21" t="s">
        <v>57</v>
      </c>
      <c r="L109" s="21" t="s">
        <v>57</v>
      </c>
      <c r="M109" s="21"/>
      <c r="N109" s="21" t="s">
        <v>57</v>
      </c>
      <c r="O109" s="21" t="s">
        <v>57</v>
      </c>
      <c r="P109" s="21" t="s">
        <v>57</v>
      </c>
      <c r="Q109" s="21"/>
      <c r="R109" s="21" t="s">
        <v>57</v>
      </c>
      <c r="S109" s="21" t="s">
        <v>57</v>
      </c>
      <c r="T109" s="21" t="s">
        <v>57</v>
      </c>
      <c r="U109" s="21" t="s">
        <v>57</v>
      </c>
      <c r="V109" s="21" t="s">
        <v>57</v>
      </c>
      <c r="W109" s="21"/>
      <c r="X109" s="21" t="s">
        <v>57</v>
      </c>
      <c r="Y109" s="21" t="s">
        <v>57</v>
      </c>
      <c r="Z109" s="21" t="s">
        <v>57</v>
      </c>
      <c r="AA109" s="21" t="s">
        <v>57</v>
      </c>
      <c r="AB109" s="21" t="s">
        <v>57</v>
      </c>
      <c r="AC109" s="21"/>
      <c r="AD109" s="21"/>
    </row>
    <row r="110" spans="1:30" x14ac:dyDescent="0.2">
      <c r="A110" s="18"/>
      <c r="B110" s="9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1:30" x14ac:dyDescent="0.2">
      <c r="A111" s="18">
        <v>8</v>
      </c>
      <c r="B111" s="17" t="s">
        <v>99</v>
      </c>
      <c r="C111" s="17" t="s">
        <v>51</v>
      </c>
      <c r="D111" s="19">
        <f>106386316.38/1000</f>
        <v>106386.31637999999</v>
      </c>
      <c r="E111" s="19">
        <f>[1]TOBEPAID!E92/1000</f>
        <v>0</v>
      </c>
      <c r="F111" s="19">
        <f>[1]TOBEPAID!F92/1000</f>
        <v>0</v>
      </c>
      <c r="G111" s="19">
        <f>[1]TOBEPAID!G92/1000</f>
        <v>0</v>
      </c>
      <c r="H111" s="19">
        <f>106300000/1000</f>
        <v>106300</v>
      </c>
      <c r="I111" s="19">
        <f>[1]TOBEPAID!I92/1000</f>
        <v>0</v>
      </c>
      <c r="J111" s="19">
        <f>[1]TOBEPAID!J92/1000</f>
        <v>0</v>
      </c>
      <c r="K111" s="19">
        <f>[1]TOBEPAID!K92/1000</f>
        <v>0</v>
      </c>
      <c r="L111" s="19">
        <f>[1]TOBEPAID!L92/1000</f>
        <v>0</v>
      </c>
      <c r="M111" s="19">
        <f>[1]TOBEPAID!M92/1000</f>
        <v>0</v>
      </c>
      <c r="N111" s="19">
        <f>[1]TOBEPAID!N92/1000</f>
        <v>0</v>
      </c>
      <c r="O111" s="19">
        <f>[1]TOBEPAID!O92/1000</f>
        <v>0</v>
      </c>
      <c r="P111" s="19">
        <f>[1]TOBEPAID!P92/1000</f>
        <v>0</v>
      </c>
      <c r="Q111" s="19">
        <f>[1]TOBEPAID!Q92/1000</f>
        <v>0</v>
      </c>
      <c r="R111" s="19">
        <v>0</v>
      </c>
      <c r="S111" s="19">
        <f>[1]TOBEPAID!S92/1000</f>
        <v>0</v>
      </c>
      <c r="T111" s="19">
        <f>[1]TOBEPAID!T92/1000</f>
        <v>0</v>
      </c>
      <c r="U111" s="19">
        <f>[1]TOBEPAID!U92/1000</f>
        <v>0</v>
      </c>
      <c r="V111" s="19">
        <f>[1]TOBEPAID!V92/1000</f>
        <v>0</v>
      </c>
      <c r="W111" s="19">
        <f>[1]TOBEPAID!W92/1000</f>
        <v>0</v>
      </c>
      <c r="X111" s="19">
        <f>[1]TOBEPAID!X92/1000</f>
        <v>0</v>
      </c>
      <c r="Y111" s="19">
        <f t="shared" ref="Y111:Y117" si="15">+H111+R111</f>
        <v>106300</v>
      </c>
      <c r="Z111" s="19">
        <f t="shared" ref="Z111:Z117" si="16">+D111-Y111</f>
        <v>86.316379999989294</v>
      </c>
      <c r="AA111" s="19">
        <f>[1]TOBEPAID!AA92/1000</f>
        <v>0</v>
      </c>
      <c r="AB111" s="19">
        <f>[1]TOBEPAID!AB92/1000</f>
        <v>6386.3163800000002</v>
      </c>
      <c r="AC111" s="19"/>
      <c r="AD111" s="19"/>
    </row>
    <row r="112" spans="1:30" x14ac:dyDescent="0.2">
      <c r="A112" s="18"/>
      <c r="C112" s="20" t="s">
        <v>52</v>
      </c>
      <c r="D112" s="19">
        <f>613984/1000</f>
        <v>613.98400000000004</v>
      </c>
      <c r="E112" s="19">
        <f>[1]TOBEPAID!E93/1000</f>
        <v>613.98401999999999</v>
      </c>
      <c r="F112" s="19">
        <f>[1]TOBEPAID!F93/1000</f>
        <v>0</v>
      </c>
      <c r="G112" s="19">
        <f>[1]TOBEPAID!G93/1000</f>
        <v>0</v>
      </c>
      <c r="H112" s="19">
        <f>613984/1000</f>
        <v>613.98400000000004</v>
      </c>
      <c r="I112" s="19">
        <f>[1]TOBEPAID!I93/1000</f>
        <v>0</v>
      </c>
      <c r="J112" s="19">
        <f>[1]TOBEPAID!J93/1000</f>
        <v>0</v>
      </c>
      <c r="K112" s="19">
        <f>[1]TOBEPAID!K93/1000</f>
        <v>0</v>
      </c>
      <c r="L112" s="19">
        <f>[1]TOBEPAID!L93/1000</f>
        <v>0</v>
      </c>
      <c r="M112" s="19">
        <f>[1]TOBEPAID!M93/1000</f>
        <v>0</v>
      </c>
      <c r="N112" s="19">
        <f>[1]TOBEPAID!N93/1000</f>
        <v>613.98401999999999</v>
      </c>
      <c r="O112" s="19">
        <f>[1]TOBEPAID!O93/1000</f>
        <v>0</v>
      </c>
      <c r="P112" s="19">
        <f>[1]TOBEPAID!P93/1000</f>
        <v>0</v>
      </c>
      <c r="Q112" s="19">
        <f>[1]TOBEPAID!Q93/1000</f>
        <v>0</v>
      </c>
      <c r="R112" s="19">
        <v>0</v>
      </c>
      <c r="S112" s="19">
        <f>[1]TOBEPAID!S93/1000</f>
        <v>0</v>
      </c>
      <c r="T112" s="19">
        <f>[1]TOBEPAID!T93/1000</f>
        <v>0</v>
      </c>
      <c r="U112" s="19">
        <f>[1]TOBEPAID!U93/1000</f>
        <v>0</v>
      </c>
      <c r="V112" s="19">
        <f>[1]TOBEPAID!V93/1000</f>
        <v>0</v>
      </c>
      <c r="W112" s="19">
        <f>[1]TOBEPAID!W93/1000</f>
        <v>0</v>
      </c>
      <c r="X112" s="19">
        <f>[1]TOBEPAID!X93/1000</f>
        <v>0</v>
      </c>
      <c r="Y112" s="19">
        <f t="shared" si="15"/>
        <v>613.98400000000004</v>
      </c>
      <c r="Z112" s="19">
        <f t="shared" si="16"/>
        <v>0</v>
      </c>
      <c r="AA112" s="19">
        <f>[1]TOBEPAID!AA93/1000</f>
        <v>613.98401999999999</v>
      </c>
      <c r="AB112" s="19">
        <f>[1]TOBEPAID!AB93/1000</f>
        <v>0</v>
      </c>
      <c r="AC112" s="19"/>
      <c r="AD112" s="19"/>
    </row>
    <row r="113" spans="1:30" x14ac:dyDescent="0.2">
      <c r="A113" s="18"/>
      <c r="C113" s="20" t="s">
        <v>70</v>
      </c>
      <c r="D113" s="19">
        <f>25000000/1000</f>
        <v>25000</v>
      </c>
      <c r="E113" s="19">
        <f>[1]TOBEPAID!E94/1000</f>
        <v>25000</v>
      </c>
      <c r="F113" s="19">
        <f>[1]TOBEPAID!F94/1000</f>
        <v>0</v>
      </c>
      <c r="G113" s="19">
        <f>[1]TOBEPAID!G94/1000</f>
        <v>0</v>
      </c>
      <c r="H113" s="19">
        <f>25000000/1000</f>
        <v>25000</v>
      </c>
      <c r="I113" s="19">
        <f>[1]TOBEPAID!I94/1000</f>
        <v>0</v>
      </c>
      <c r="J113" s="19">
        <f>[1]TOBEPAID!J94/1000</f>
        <v>0</v>
      </c>
      <c r="K113" s="19">
        <f>[1]TOBEPAID!K94/1000</f>
        <v>0</v>
      </c>
      <c r="L113" s="19">
        <f>[1]TOBEPAID!L94/1000</f>
        <v>0</v>
      </c>
      <c r="M113" s="19">
        <f>[1]TOBEPAID!M94/1000</f>
        <v>0</v>
      </c>
      <c r="N113" s="19">
        <f>[1]TOBEPAID!N94/1000</f>
        <v>25000</v>
      </c>
      <c r="O113" s="19">
        <f>[1]TOBEPAID!O94/1000</f>
        <v>0</v>
      </c>
      <c r="P113" s="19">
        <f>[1]TOBEPAID!P94/1000</f>
        <v>0</v>
      </c>
      <c r="Q113" s="19">
        <f>[1]TOBEPAID!Q94/1000</f>
        <v>0</v>
      </c>
      <c r="R113" s="19">
        <v>0</v>
      </c>
      <c r="S113" s="19">
        <f>[1]TOBEPAID!S94/1000</f>
        <v>0</v>
      </c>
      <c r="T113" s="19">
        <f>[1]TOBEPAID!T94/1000</f>
        <v>0</v>
      </c>
      <c r="U113" s="19">
        <f>[1]TOBEPAID!U94/1000</f>
        <v>0</v>
      </c>
      <c r="V113" s="19">
        <f>[1]TOBEPAID!V94/1000</f>
        <v>0</v>
      </c>
      <c r="W113" s="19">
        <f>[1]TOBEPAID!W94/1000</f>
        <v>0</v>
      </c>
      <c r="X113" s="19">
        <f>[1]TOBEPAID!X94/1000</f>
        <v>0</v>
      </c>
      <c r="Y113" s="19">
        <f t="shared" si="15"/>
        <v>25000</v>
      </c>
      <c r="Z113" s="19">
        <f t="shared" si="16"/>
        <v>0</v>
      </c>
      <c r="AA113" s="19">
        <f>[1]TOBEPAID!AA94/1000</f>
        <v>25000</v>
      </c>
      <c r="AB113" s="19">
        <f>[1]TOBEPAID!AB94/1000</f>
        <v>0</v>
      </c>
      <c r="AC113" s="19"/>
      <c r="AD113" s="19"/>
    </row>
    <row r="114" spans="1:30" x14ac:dyDescent="0.2">
      <c r="A114" s="18"/>
      <c r="C114" s="20" t="s">
        <v>100</v>
      </c>
      <c r="D114" s="19">
        <f>23846698/1000</f>
        <v>23846.698</v>
      </c>
      <c r="E114" s="19"/>
      <c r="F114" s="19"/>
      <c r="G114" s="19"/>
      <c r="H114" s="19">
        <f>23846698/1000</f>
        <v>23846.698</v>
      </c>
      <c r="I114" s="19"/>
      <c r="J114" s="19"/>
      <c r="K114" s="19"/>
      <c r="L114" s="19"/>
      <c r="M114" s="19"/>
      <c r="N114" s="19"/>
      <c r="O114" s="19"/>
      <c r="P114" s="19"/>
      <c r="Q114" s="19"/>
      <c r="R114" s="19">
        <v>0</v>
      </c>
      <c r="S114" s="19"/>
      <c r="T114" s="19"/>
      <c r="U114" s="19"/>
      <c r="V114" s="19"/>
      <c r="W114" s="19"/>
      <c r="X114" s="19"/>
      <c r="Y114" s="19">
        <f>+H114+R114</f>
        <v>23846.698</v>
      </c>
      <c r="Z114" s="19">
        <f>+D114-Y114</f>
        <v>0</v>
      </c>
      <c r="AA114" s="19"/>
      <c r="AB114" s="19"/>
      <c r="AC114" s="19"/>
      <c r="AD114" s="19"/>
    </row>
    <row r="115" spans="1:30" x14ac:dyDescent="0.2">
      <c r="A115" s="18"/>
      <c r="C115" s="17" t="s">
        <v>96</v>
      </c>
      <c r="D115" s="19">
        <f>1372593/1000</f>
        <v>1372.5930000000001</v>
      </c>
      <c r="E115" s="19">
        <f>[1]TOBEPAID!E95/1000</f>
        <v>95.117999999999995</v>
      </c>
      <c r="F115" s="19">
        <f>[1]TOBEPAID!F95/1000</f>
        <v>0</v>
      </c>
      <c r="G115" s="19">
        <f>[1]TOBEPAID!G95/1000</f>
        <v>0</v>
      </c>
      <c r="H115" s="19">
        <f>95118/1000</f>
        <v>95.117999999999995</v>
      </c>
      <c r="I115" s="19">
        <f>[1]TOBEPAID!I95/1000</f>
        <v>0</v>
      </c>
      <c r="J115" s="19">
        <f>[1]TOBEPAID!J95/1000</f>
        <v>0</v>
      </c>
      <c r="K115" s="19">
        <f>[1]TOBEPAID!K95/1000</f>
        <v>0</v>
      </c>
      <c r="L115" s="19">
        <f>[1]TOBEPAID!L95/1000</f>
        <v>0</v>
      </c>
      <c r="M115" s="19">
        <f>[1]TOBEPAID!M95/1000</f>
        <v>0</v>
      </c>
      <c r="N115" s="19">
        <f>[1]TOBEPAID!N95/1000</f>
        <v>95.117999999999995</v>
      </c>
      <c r="O115" s="19">
        <f>[1]TOBEPAID!O95/1000</f>
        <v>1061.4870000000001</v>
      </c>
      <c r="P115" s="19">
        <f>[1]TOBEPAID!P95/1000</f>
        <v>0</v>
      </c>
      <c r="Q115" s="19">
        <f>[1]TOBEPAID!Q95/1000</f>
        <v>0</v>
      </c>
      <c r="R115" s="19">
        <f>1061487/1000</f>
        <v>1061.4870000000001</v>
      </c>
      <c r="S115" s="19">
        <f>[1]TOBEPAID!S95/1000</f>
        <v>0</v>
      </c>
      <c r="T115" s="19">
        <f>[1]TOBEPAID!T95/1000</f>
        <v>0</v>
      </c>
      <c r="U115" s="19">
        <f>[1]TOBEPAID!U95/1000</f>
        <v>0</v>
      </c>
      <c r="V115" s="19">
        <f>[1]TOBEPAID!V95/1000</f>
        <v>0</v>
      </c>
      <c r="W115" s="19">
        <f>[1]TOBEPAID!W95/1000</f>
        <v>0</v>
      </c>
      <c r="X115" s="19">
        <f>[1]TOBEPAID!X95/1000</f>
        <v>1061.4870000000001</v>
      </c>
      <c r="Y115" s="19">
        <f t="shared" si="15"/>
        <v>1156.605</v>
      </c>
      <c r="Z115" s="19">
        <f t="shared" si="16"/>
        <v>215.98800000000006</v>
      </c>
      <c r="AA115" s="19">
        <f>[1]TOBEPAID!AA95/1000</f>
        <v>1156.605</v>
      </c>
      <c r="AB115" s="19">
        <f>[1]TOBEPAID!AB95/1000</f>
        <v>215.98881000000006</v>
      </c>
      <c r="AC115" s="19"/>
      <c r="AD115" s="19"/>
    </row>
    <row r="116" spans="1:30" x14ac:dyDescent="0.2">
      <c r="A116" s="18"/>
      <c r="C116" s="17" t="s">
        <v>97</v>
      </c>
      <c r="D116" s="19">
        <f>21920626/1000</f>
        <v>21920.626</v>
      </c>
      <c r="E116" s="19">
        <f>[1]TOBEPAID!E96/1000</f>
        <v>0</v>
      </c>
      <c r="F116" s="19">
        <f>[1]TOBEPAID!F96/1000</f>
        <v>0</v>
      </c>
      <c r="G116" s="19">
        <f>[1]TOBEPAID!G96/1000</f>
        <v>0</v>
      </c>
      <c r="H116" s="19">
        <v>0</v>
      </c>
      <c r="I116" s="19">
        <f>[1]TOBEPAID!I96/1000</f>
        <v>0</v>
      </c>
      <c r="J116" s="19">
        <f>[1]TOBEPAID!J96/1000</f>
        <v>0</v>
      </c>
      <c r="K116" s="19">
        <f>[1]TOBEPAID!K96/1000</f>
        <v>0</v>
      </c>
      <c r="L116" s="19">
        <f>[1]TOBEPAID!L96/1000</f>
        <v>0</v>
      </c>
      <c r="M116" s="19">
        <f>[1]TOBEPAID!M96/1000</f>
        <v>0</v>
      </c>
      <c r="N116" s="19">
        <f>[1]TOBEPAID!N96/1000</f>
        <v>0</v>
      </c>
      <c r="O116" s="19">
        <f>[1]TOBEPAID!O96/1000</f>
        <v>21920.626049999999</v>
      </c>
      <c r="P116" s="19">
        <f>[1]TOBEPAID!P96/1000</f>
        <v>0</v>
      </c>
      <c r="Q116" s="19">
        <f>[1]TOBEPAID!Q96/1000</f>
        <v>0</v>
      </c>
      <c r="R116" s="19">
        <f>21920626/1000</f>
        <v>21920.626</v>
      </c>
      <c r="S116" s="19">
        <f>[1]TOBEPAID!S96/1000</f>
        <v>0</v>
      </c>
      <c r="T116" s="19">
        <f>[1]TOBEPAID!T96/1000</f>
        <v>0</v>
      </c>
      <c r="U116" s="19">
        <f>[1]TOBEPAID!U96/1000</f>
        <v>0</v>
      </c>
      <c r="V116" s="19">
        <f>[1]TOBEPAID!V96/1000</f>
        <v>0</v>
      </c>
      <c r="W116" s="19">
        <f>[1]TOBEPAID!W96/1000</f>
        <v>0</v>
      </c>
      <c r="X116" s="19">
        <f>[1]TOBEPAID!X96/1000</f>
        <v>21920.626049999999</v>
      </c>
      <c r="Y116" s="19">
        <f t="shared" si="15"/>
        <v>21920.626</v>
      </c>
      <c r="Z116" s="19">
        <f t="shared" si="16"/>
        <v>0</v>
      </c>
      <c r="AA116" s="19">
        <f>[1]TOBEPAID!AA96/1000</f>
        <v>21920.626049999999</v>
      </c>
      <c r="AB116" s="19">
        <f>[1]TOBEPAID!AB96/1000</f>
        <v>0</v>
      </c>
      <c r="AC116" s="19"/>
      <c r="AD116" s="19"/>
    </row>
    <row r="117" spans="1:30" x14ac:dyDescent="0.2">
      <c r="A117" s="18"/>
      <c r="C117" s="17" t="s">
        <v>101</v>
      </c>
      <c r="D117" s="19">
        <f>200000/1000</f>
        <v>200</v>
      </c>
      <c r="E117" s="19">
        <f>[1]TOBEPAID!E97/1000</f>
        <v>0</v>
      </c>
      <c r="F117" s="19">
        <f>[1]TOBEPAID!F97/1000</f>
        <v>0</v>
      </c>
      <c r="G117" s="19">
        <f>[1]TOBEPAID!G97/1000</f>
        <v>0</v>
      </c>
      <c r="H117" s="19">
        <v>0</v>
      </c>
      <c r="I117" s="19">
        <f>[1]TOBEPAID!I97/1000</f>
        <v>0</v>
      </c>
      <c r="J117" s="19">
        <f>[1]TOBEPAID!J97/1000</f>
        <v>0</v>
      </c>
      <c r="K117" s="19">
        <f>[1]TOBEPAID!K97/1000</f>
        <v>0</v>
      </c>
      <c r="L117" s="19">
        <f>[1]TOBEPAID!L97/1000</f>
        <v>0</v>
      </c>
      <c r="M117" s="19">
        <f>[1]TOBEPAID!M97/1000</f>
        <v>0</v>
      </c>
      <c r="N117" s="19">
        <f>[1]TOBEPAID!N97/1000</f>
        <v>0</v>
      </c>
      <c r="O117" s="19">
        <f>[1]TOBEPAID!O97/1000</f>
        <v>0</v>
      </c>
      <c r="P117" s="19">
        <f>[1]TOBEPAID!P97/1000</f>
        <v>0</v>
      </c>
      <c r="Q117" s="19">
        <f>[1]TOBEPAID!Q97/1000</f>
        <v>0</v>
      </c>
      <c r="R117" s="19">
        <v>0</v>
      </c>
      <c r="S117" s="19">
        <f>[1]TOBEPAID!S97/1000</f>
        <v>0</v>
      </c>
      <c r="T117" s="19">
        <f>[1]TOBEPAID!T97/1000</f>
        <v>0</v>
      </c>
      <c r="U117" s="19">
        <f>[1]TOBEPAID!U97/1000</f>
        <v>0</v>
      </c>
      <c r="V117" s="19">
        <f>[1]TOBEPAID!V97/1000</f>
        <v>0</v>
      </c>
      <c r="W117" s="19">
        <f>[1]TOBEPAID!W97/1000</f>
        <v>0</v>
      </c>
      <c r="X117" s="19">
        <f>[1]TOBEPAID!X97/1000</f>
        <v>0</v>
      </c>
      <c r="Y117" s="19">
        <f t="shared" si="15"/>
        <v>0</v>
      </c>
      <c r="Z117" s="19">
        <f t="shared" si="16"/>
        <v>200</v>
      </c>
      <c r="AA117" s="19">
        <f>[1]TOBEPAID!AA97/1000</f>
        <v>0</v>
      </c>
      <c r="AB117" s="19">
        <f>[1]TOBEPAID!AB97/1000</f>
        <v>200</v>
      </c>
      <c r="AC117" s="19"/>
      <c r="AD117" s="19"/>
    </row>
    <row r="118" spans="1:30" x14ac:dyDescent="0.2">
      <c r="A118" s="18"/>
      <c r="D118" s="21" t="s">
        <v>57</v>
      </c>
      <c r="E118" s="21" t="s">
        <v>57</v>
      </c>
      <c r="F118" s="21" t="s">
        <v>57</v>
      </c>
      <c r="G118" s="21"/>
      <c r="H118" s="21" t="s">
        <v>57</v>
      </c>
      <c r="I118" s="21" t="s">
        <v>57</v>
      </c>
      <c r="J118" s="21" t="s">
        <v>57</v>
      </c>
      <c r="K118" s="21" t="s">
        <v>57</v>
      </c>
      <c r="L118" s="21" t="s">
        <v>57</v>
      </c>
      <c r="M118" s="21"/>
      <c r="N118" s="21" t="s">
        <v>57</v>
      </c>
      <c r="O118" s="21" t="s">
        <v>57</v>
      </c>
      <c r="P118" s="21" t="s">
        <v>57</v>
      </c>
      <c r="Q118" s="21"/>
      <c r="R118" s="21" t="s">
        <v>57</v>
      </c>
      <c r="S118" s="21" t="s">
        <v>57</v>
      </c>
      <c r="T118" s="21" t="s">
        <v>57</v>
      </c>
      <c r="U118" s="21" t="s">
        <v>57</v>
      </c>
      <c r="V118" s="21" t="s">
        <v>57</v>
      </c>
      <c r="W118" s="21"/>
      <c r="X118" s="21" t="s">
        <v>57</v>
      </c>
      <c r="Y118" s="21" t="s">
        <v>57</v>
      </c>
      <c r="Z118" s="21" t="s">
        <v>57</v>
      </c>
      <c r="AA118" s="21" t="s">
        <v>57</v>
      </c>
      <c r="AB118" s="21" t="s">
        <v>57</v>
      </c>
      <c r="AC118" s="21"/>
      <c r="AD118" s="21"/>
    </row>
    <row r="119" spans="1:30" x14ac:dyDescent="0.2">
      <c r="A119" s="18"/>
      <c r="D119" s="19">
        <f t="shared" ref="D119:AB119" si="17">SUM(D111:D117)</f>
        <v>179340.21737999996</v>
      </c>
      <c r="E119" s="19">
        <f t="shared" si="17"/>
        <v>25709.102019999998</v>
      </c>
      <c r="F119" s="19">
        <f t="shared" si="17"/>
        <v>0</v>
      </c>
      <c r="G119" s="19"/>
      <c r="H119" s="19">
        <f>SUM(H111:H117)</f>
        <v>155855.79999999999</v>
      </c>
      <c r="I119" s="19">
        <f t="shared" si="17"/>
        <v>0</v>
      </c>
      <c r="J119" s="19">
        <f t="shared" si="17"/>
        <v>0</v>
      </c>
      <c r="K119" s="19">
        <f t="shared" si="17"/>
        <v>0</v>
      </c>
      <c r="L119" s="19">
        <f t="shared" si="17"/>
        <v>0</v>
      </c>
      <c r="M119" s="19"/>
      <c r="N119" s="19">
        <f t="shared" si="17"/>
        <v>25709.102019999998</v>
      </c>
      <c r="O119" s="19">
        <f t="shared" si="17"/>
        <v>22982.11305</v>
      </c>
      <c r="P119" s="19">
        <f t="shared" si="17"/>
        <v>0</v>
      </c>
      <c r="Q119" s="19"/>
      <c r="R119" s="19">
        <f t="shared" si="17"/>
        <v>22982.113000000001</v>
      </c>
      <c r="S119" s="19">
        <f t="shared" si="17"/>
        <v>0</v>
      </c>
      <c r="T119" s="19">
        <f t="shared" si="17"/>
        <v>0</v>
      </c>
      <c r="U119" s="19">
        <f t="shared" si="17"/>
        <v>0</v>
      </c>
      <c r="V119" s="19">
        <f t="shared" si="17"/>
        <v>0</v>
      </c>
      <c r="W119" s="19"/>
      <c r="X119" s="19">
        <f t="shared" si="17"/>
        <v>22982.11305</v>
      </c>
      <c r="Y119" s="19">
        <f t="shared" si="17"/>
        <v>178837.913</v>
      </c>
      <c r="Z119" s="19">
        <f t="shared" si="17"/>
        <v>502.30437999998935</v>
      </c>
      <c r="AA119" s="19">
        <f t="shared" si="17"/>
        <v>48691.215069999998</v>
      </c>
      <c r="AB119" s="19">
        <f t="shared" si="17"/>
        <v>6802.30519</v>
      </c>
      <c r="AC119" s="19"/>
      <c r="AD119" s="19"/>
    </row>
    <row r="120" spans="1:30" x14ac:dyDescent="0.2">
      <c r="A120" s="18"/>
      <c r="D120" s="21" t="s">
        <v>57</v>
      </c>
      <c r="E120" s="21" t="s">
        <v>57</v>
      </c>
      <c r="F120" s="21" t="s">
        <v>57</v>
      </c>
      <c r="G120" s="21"/>
      <c r="H120" s="21" t="s">
        <v>57</v>
      </c>
      <c r="I120" s="21" t="s">
        <v>57</v>
      </c>
      <c r="J120" s="21" t="s">
        <v>57</v>
      </c>
      <c r="K120" s="21" t="s">
        <v>57</v>
      </c>
      <c r="L120" s="21" t="s">
        <v>57</v>
      </c>
      <c r="M120" s="21"/>
      <c r="N120" s="21" t="s">
        <v>57</v>
      </c>
      <c r="O120" s="21" t="s">
        <v>57</v>
      </c>
      <c r="P120" s="21" t="s">
        <v>57</v>
      </c>
      <c r="Q120" s="21"/>
      <c r="R120" s="21" t="s">
        <v>57</v>
      </c>
      <c r="S120" s="21" t="s">
        <v>57</v>
      </c>
      <c r="T120" s="21" t="s">
        <v>57</v>
      </c>
      <c r="U120" s="21" t="s">
        <v>57</v>
      </c>
      <c r="V120" s="21" t="s">
        <v>57</v>
      </c>
      <c r="W120" s="21"/>
      <c r="X120" s="21" t="s">
        <v>57</v>
      </c>
      <c r="Y120" s="21" t="s">
        <v>57</v>
      </c>
      <c r="Z120" s="21" t="s">
        <v>57</v>
      </c>
      <c r="AA120" s="21" t="s">
        <v>57</v>
      </c>
      <c r="AB120" s="21" t="s">
        <v>57</v>
      </c>
      <c r="AC120" s="21"/>
      <c r="AD120" s="21"/>
    </row>
    <row r="121" spans="1:30" x14ac:dyDescent="0.2">
      <c r="A121" s="18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1:30" x14ac:dyDescent="0.2">
      <c r="A122" s="18">
        <v>9</v>
      </c>
      <c r="B122" s="17" t="s">
        <v>102</v>
      </c>
      <c r="C122" s="17" t="s">
        <v>51</v>
      </c>
      <c r="D122" s="19">
        <f>5313225.89/1000</f>
        <v>5313.2258899999997</v>
      </c>
      <c r="E122" s="19">
        <f>[1]TOBEPAID!E102/1000</f>
        <v>0</v>
      </c>
      <c r="F122" s="19">
        <f>[1]TOBEPAID!F102/1000</f>
        <v>0</v>
      </c>
      <c r="G122" s="19">
        <f>[1]TOBEPAID!G102/1000</f>
        <v>0</v>
      </c>
      <c r="H122" s="19">
        <f>5313000/1000</f>
        <v>5313</v>
      </c>
      <c r="I122" s="19">
        <f>[1]TOBEPAID!I102/1000</f>
        <v>0</v>
      </c>
      <c r="J122" s="19">
        <f>[1]TOBEPAID!J102/1000</f>
        <v>0</v>
      </c>
      <c r="K122" s="19">
        <f>[1]TOBEPAID!K102/1000</f>
        <v>0</v>
      </c>
      <c r="L122" s="19">
        <f>[1]TOBEPAID!L102/1000</f>
        <v>0</v>
      </c>
      <c r="M122" s="19">
        <f>[1]TOBEPAID!M102/1000</f>
        <v>0</v>
      </c>
      <c r="N122" s="19">
        <f>[1]TOBEPAID!N102/1000</f>
        <v>0</v>
      </c>
      <c r="O122" s="19">
        <f>[1]TOBEPAID!O102/1000</f>
        <v>0</v>
      </c>
      <c r="P122" s="19">
        <f>[1]TOBEPAID!P102/1000</f>
        <v>0</v>
      </c>
      <c r="Q122" s="19">
        <f>[1]TOBEPAID!Q102/1000</f>
        <v>0</v>
      </c>
      <c r="R122" s="19">
        <v>0</v>
      </c>
      <c r="S122" s="19">
        <f>[1]TOBEPAID!S102/1000</f>
        <v>0</v>
      </c>
      <c r="T122" s="19">
        <f>[1]TOBEPAID!T102/1000</f>
        <v>0</v>
      </c>
      <c r="U122" s="19">
        <f>[1]TOBEPAID!U102/1000</f>
        <v>0</v>
      </c>
      <c r="V122" s="19">
        <f>[1]TOBEPAID!V102/1000</f>
        <v>0</v>
      </c>
      <c r="W122" s="19">
        <f>[1]TOBEPAID!W102/1000</f>
        <v>0</v>
      </c>
      <c r="X122" s="19">
        <f>[1]TOBEPAID!X102/1000</f>
        <v>0</v>
      </c>
      <c r="Y122" s="19">
        <f>+H122+R122</f>
        <v>5313</v>
      </c>
      <c r="Z122" s="19">
        <f>+D122-Y122</f>
        <v>0.22588999999970838</v>
      </c>
      <c r="AA122" s="19">
        <f>[1]TOBEPAID!AA102/1000</f>
        <v>0</v>
      </c>
      <c r="AB122" s="19">
        <f>[1]TOBEPAID!AB102/1000</f>
        <v>3538.9784</v>
      </c>
      <c r="AC122" s="19"/>
      <c r="AD122" s="19"/>
    </row>
    <row r="123" spans="1:30" x14ac:dyDescent="0.2">
      <c r="C123" s="3" t="s">
        <v>62</v>
      </c>
      <c r="D123" s="19">
        <v>0</v>
      </c>
      <c r="E123" s="19">
        <f>[1]TOBEPAID!E103/1000</f>
        <v>0</v>
      </c>
      <c r="F123" s="19">
        <f>[1]TOBEPAID!F103/1000</f>
        <v>0</v>
      </c>
      <c r="G123" s="19">
        <f>[1]TOBEPAID!G103/1000</f>
        <v>0</v>
      </c>
      <c r="H123" s="19">
        <v>0</v>
      </c>
      <c r="I123" s="19">
        <f>[1]TOBEPAID!I103/1000</f>
        <v>0</v>
      </c>
      <c r="J123" s="19">
        <f>[1]TOBEPAID!J103/1000</f>
        <v>0</v>
      </c>
      <c r="K123" s="19">
        <f>[1]TOBEPAID!K103/1000</f>
        <v>0</v>
      </c>
      <c r="L123" s="19">
        <f>[1]TOBEPAID!L103/1000</f>
        <v>0</v>
      </c>
      <c r="M123" s="19">
        <f>[1]TOBEPAID!M103/1000</f>
        <v>0</v>
      </c>
      <c r="N123" s="19">
        <f>[1]TOBEPAID!N103/1000</f>
        <v>0</v>
      </c>
      <c r="O123" s="19">
        <f>[1]TOBEPAID!O103/1000</f>
        <v>0</v>
      </c>
      <c r="P123" s="19">
        <f>[1]TOBEPAID!P103/1000</f>
        <v>0</v>
      </c>
      <c r="Q123" s="19">
        <f>[1]TOBEPAID!Q103/1000</f>
        <v>0</v>
      </c>
      <c r="R123" s="19">
        <v>0</v>
      </c>
      <c r="S123" s="19">
        <f>[1]TOBEPAID!S103/1000</f>
        <v>0</v>
      </c>
      <c r="T123" s="19">
        <f>[1]TOBEPAID!T103/1000</f>
        <v>0</v>
      </c>
      <c r="U123" s="19">
        <f>[1]TOBEPAID!U103/1000</f>
        <v>0</v>
      </c>
      <c r="V123" s="19">
        <f>[1]TOBEPAID!V103/1000</f>
        <v>0</v>
      </c>
      <c r="W123" s="19">
        <f>[1]TOBEPAID!W103/1000</f>
        <v>0</v>
      </c>
      <c r="X123" s="19">
        <f>[1]TOBEPAID!X103/1000</f>
        <v>0</v>
      </c>
      <c r="Y123" s="19">
        <f>+H123+R123</f>
        <v>0</v>
      </c>
      <c r="Z123" s="19">
        <f>+D123-Y123</f>
        <v>0</v>
      </c>
      <c r="AA123" s="19">
        <f>[1]TOBEPAID!AA103/1000</f>
        <v>0</v>
      </c>
      <c r="AB123" s="19">
        <f>[1]TOBEPAID!AB103/1000</f>
        <v>0</v>
      </c>
      <c r="AC123" s="19"/>
      <c r="AD123" s="19"/>
    </row>
    <row r="124" spans="1:30" x14ac:dyDescent="0.2">
      <c r="C124" s="3" t="s">
        <v>62</v>
      </c>
      <c r="D124" s="19">
        <f>12000000/1000</f>
        <v>12000</v>
      </c>
      <c r="E124" s="19"/>
      <c r="F124" s="19"/>
      <c r="G124" s="19"/>
      <c r="H124" s="19">
        <f>12000000/1000</f>
        <v>12000</v>
      </c>
      <c r="I124" s="19"/>
      <c r="J124" s="19"/>
      <c r="K124" s="19"/>
      <c r="L124" s="19"/>
      <c r="M124" s="19"/>
      <c r="N124" s="19"/>
      <c r="O124" s="19"/>
      <c r="P124" s="19"/>
      <c r="Q124" s="19"/>
      <c r="R124" s="19">
        <v>0</v>
      </c>
      <c r="S124" s="19"/>
      <c r="T124" s="19"/>
      <c r="U124" s="19"/>
      <c r="V124" s="19"/>
      <c r="W124" s="19"/>
      <c r="X124" s="19"/>
      <c r="Y124" s="19">
        <f>+H124+R124</f>
        <v>12000</v>
      </c>
      <c r="Z124" s="19">
        <f>+D124-Y124</f>
        <v>0</v>
      </c>
      <c r="AA124" s="19"/>
      <c r="AB124" s="19"/>
      <c r="AC124" s="19"/>
      <c r="AD124" s="19"/>
    </row>
    <row r="125" spans="1:30" x14ac:dyDescent="0.2">
      <c r="A125" s="18"/>
      <c r="C125" s="20" t="s">
        <v>52</v>
      </c>
      <c r="D125" s="19">
        <f>181314/1000</f>
        <v>181.31399999999999</v>
      </c>
      <c r="E125" s="19">
        <f>[1]TOBEPAID!E104/1000</f>
        <v>181.31470999999999</v>
      </c>
      <c r="F125" s="19">
        <f>[1]TOBEPAID!F104/1000</f>
        <v>0</v>
      </c>
      <c r="G125" s="19">
        <f>[1]TOBEPAID!G104/1000</f>
        <v>0</v>
      </c>
      <c r="H125" s="19">
        <f>181314/1000</f>
        <v>181.31399999999999</v>
      </c>
      <c r="I125" s="19">
        <f>[1]TOBEPAID!I104/1000</f>
        <v>0</v>
      </c>
      <c r="J125" s="19">
        <f>[1]TOBEPAID!J104/1000</f>
        <v>0</v>
      </c>
      <c r="K125" s="19">
        <f>[1]TOBEPAID!K104/1000</f>
        <v>0</v>
      </c>
      <c r="L125" s="19">
        <f>[1]TOBEPAID!L104/1000</f>
        <v>0</v>
      </c>
      <c r="M125" s="19">
        <f>[1]TOBEPAID!M104/1000</f>
        <v>0</v>
      </c>
      <c r="N125" s="19">
        <f>[1]TOBEPAID!N104/1000</f>
        <v>181.31470999999999</v>
      </c>
      <c r="O125" s="19">
        <f>[1]TOBEPAID!O104/1000</f>
        <v>0</v>
      </c>
      <c r="P125" s="19">
        <f>[1]TOBEPAID!P104/1000</f>
        <v>0</v>
      </c>
      <c r="Q125" s="19">
        <f>[1]TOBEPAID!Q104/1000</f>
        <v>0</v>
      </c>
      <c r="R125" s="19">
        <v>0</v>
      </c>
      <c r="S125" s="19">
        <f>[1]TOBEPAID!S104/1000</f>
        <v>0</v>
      </c>
      <c r="T125" s="19">
        <f>[1]TOBEPAID!T104/1000</f>
        <v>0</v>
      </c>
      <c r="U125" s="19">
        <f>[1]TOBEPAID!U104/1000</f>
        <v>0</v>
      </c>
      <c r="V125" s="19">
        <f>[1]TOBEPAID!V104/1000</f>
        <v>0</v>
      </c>
      <c r="W125" s="19">
        <f>[1]TOBEPAID!W104/1000</f>
        <v>0</v>
      </c>
      <c r="X125" s="19">
        <f>[1]TOBEPAID!X104/1000</f>
        <v>0</v>
      </c>
      <c r="Y125" s="19">
        <f>+H125+R125</f>
        <v>181.31399999999999</v>
      </c>
      <c r="Z125" s="19">
        <f>+D125-Y125</f>
        <v>0</v>
      </c>
      <c r="AA125" s="19">
        <f>[1]TOBEPAID!AA104/1000</f>
        <v>181.31470999999999</v>
      </c>
      <c r="AB125" s="19">
        <f>[1]TOBEPAID!AB104/1000</f>
        <v>0</v>
      </c>
      <c r="AC125" s="19"/>
      <c r="AD125" s="19"/>
    </row>
    <row r="126" spans="1:30" x14ac:dyDescent="0.2">
      <c r="A126" s="18"/>
      <c r="C126" s="17" t="s">
        <v>55</v>
      </c>
      <c r="D126" s="19">
        <v>0</v>
      </c>
      <c r="E126" s="19">
        <f>[1]TOBEPAID!E105/1000</f>
        <v>0</v>
      </c>
      <c r="F126" s="19">
        <f>[1]TOBEPAID!F105/1000</f>
        <v>0</v>
      </c>
      <c r="G126" s="19">
        <f>[1]TOBEPAID!G105/1000</f>
        <v>0</v>
      </c>
      <c r="H126" s="19">
        <v>0</v>
      </c>
      <c r="I126" s="19">
        <f>[1]TOBEPAID!I105/1000</f>
        <v>0</v>
      </c>
      <c r="J126" s="19">
        <f>[1]TOBEPAID!J105/1000</f>
        <v>0</v>
      </c>
      <c r="K126" s="19">
        <f>[1]TOBEPAID!K105/1000</f>
        <v>0</v>
      </c>
      <c r="L126" s="19">
        <f>[1]TOBEPAID!L105/1000</f>
        <v>0</v>
      </c>
      <c r="M126" s="19">
        <f>[1]TOBEPAID!M105/1000</f>
        <v>0</v>
      </c>
      <c r="N126" s="19">
        <f>[1]TOBEPAID!N105/1000</f>
        <v>0</v>
      </c>
      <c r="O126" s="19">
        <f>[1]TOBEPAID!O105/1000</f>
        <v>0</v>
      </c>
      <c r="P126" s="19">
        <f>[1]TOBEPAID!P105/1000</f>
        <v>0</v>
      </c>
      <c r="Q126" s="19">
        <f>[1]TOBEPAID!Q105/1000</f>
        <v>0</v>
      </c>
      <c r="R126" s="19">
        <v>0</v>
      </c>
      <c r="S126" s="19">
        <f>[1]TOBEPAID!S105/1000</f>
        <v>0</v>
      </c>
      <c r="T126" s="19">
        <f>[1]TOBEPAID!T105/1000</f>
        <v>0</v>
      </c>
      <c r="U126" s="19">
        <f>[1]TOBEPAID!U105/1000</f>
        <v>0</v>
      </c>
      <c r="V126" s="19">
        <f>[1]TOBEPAID!V105/1000</f>
        <v>0</v>
      </c>
      <c r="W126" s="19">
        <f>[1]TOBEPAID!W105/1000</f>
        <v>0</v>
      </c>
      <c r="X126" s="19">
        <f>[1]TOBEPAID!X105/1000</f>
        <v>0</v>
      </c>
      <c r="Y126" s="19">
        <f>+H126+R126</f>
        <v>0</v>
      </c>
      <c r="Z126" s="19">
        <f>+D126-Y126</f>
        <v>0</v>
      </c>
      <c r="AA126" s="19">
        <f>[1]TOBEPAID!AA105/1000</f>
        <v>0</v>
      </c>
      <c r="AB126" s="19">
        <f>[1]TOBEPAID!AB105/1000</f>
        <v>1774.24749</v>
      </c>
      <c r="AC126" s="19"/>
      <c r="AD126" s="19"/>
    </row>
    <row r="127" spans="1:30" x14ac:dyDescent="0.2">
      <c r="A127" s="18"/>
      <c r="D127" s="21" t="s">
        <v>57</v>
      </c>
      <c r="E127" s="21" t="s">
        <v>57</v>
      </c>
      <c r="F127" s="21" t="s">
        <v>57</v>
      </c>
      <c r="G127" s="21"/>
      <c r="H127" s="21" t="s">
        <v>57</v>
      </c>
      <c r="I127" s="21" t="s">
        <v>57</v>
      </c>
      <c r="J127" s="21" t="s">
        <v>57</v>
      </c>
      <c r="K127" s="21" t="s">
        <v>57</v>
      </c>
      <c r="L127" s="21" t="s">
        <v>57</v>
      </c>
      <c r="M127" s="21"/>
      <c r="N127" s="21" t="s">
        <v>57</v>
      </c>
      <c r="O127" s="21" t="s">
        <v>57</v>
      </c>
      <c r="P127" s="21" t="s">
        <v>57</v>
      </c>
      <c r="Q127" s="21"/>
      <c r="R127" s="21" t="s">
        <v>57</v>
      </c>
      <c r="S127" s="21" t="s">
        <v>57</v>
      </c>
      <c r="T127" s="21" t="s">
        <v>57</v>
      </c>
      <c r="U127" s="21" t="s">
        <v>57</v>
      </c>
      <c r="V127" s="21" t="s">
        <v>57</v>
      </c>
      <c r="W127" s="21"/>
      <c r="X127" s="21" t="s">
        <v>57</v>
      </c>
      <c r="Y127" s="21" t="s">
        <v>57</v>
      </c>
      <c r="Z127" s="21" t="s">
        <v>57</v>
      </c>
      <c r="AA127" s="21" t="s">
        <v>57</v>
      </c>
      <c r="AB127" s="21" t="s">
        <v>57</v>
      </c>
      <c r="AC127" s="21"/>
      <c r="AD127" s="21"/>
    </row>
    <row r="128" spans="1:30" x14ac:dyDescent="0.2">
      <c r="A128" s="18"/>
      <c r="D128" s="19">
        <f>SUM(D122:D126)</f>
        <v>17494.53989</v>
      </c>
      <c r="E128" s="19">
        <f>SUM(E122:E126)</f>
        <v>181.31470999999999</v>
      </c>
      <c r="F128" s="19">
        <f>SUM(F122:F126)</f>
        <v>0</v>
      </c>
      <c r="G128" s="19"/>
      <c r="H128" s="19">
        <f>SUM(H122:H126)</f>
        <v>17494.313999999998</v>
      </c>
      <c r="I128" s="19">
        <f>SUM(I122:I126)</f>
        <v>0</v>
      </c>
      <c r="J128" s="19">
        <f>SUM(J122:J126)</f>
        <v>0</v>
      </c>
      <c r="K128" s="19">
        <f>SUM(K122:K126)</f>
        <v>0</v>
      </c>
      <c r="L128" s="19">
        <f>SUM(L122:L126)</f>
        <v>0</v>
      </c>
      <c r="M128" s="19"/>
      <c r="N128" s="19">
        <f>SUM(N122:N126)</f>
        <v>181.31470999999999</v>
      </c>
      <c r="O128" s="19">
        <f>SUM(O122:O126)</f>
        <v>0</v>
      </c>
      <c r="P128" s="19">
        <f>SUM(P122:P126)</f>
        <v>0</v>
      </c>
      <c r="Q128" s="19"/>
      <c r="R128" s="19">
        <f>SUM(R122:R126)</f>
        <v>0</v>
      </c>
      <c r="S128" s="19">
        <f>SUM(S122:S126)</f>
        <v>0</v>
      </c>
      <c r="T128" s="19">
        <f>SUM(T122:T126)</f>
        <v>0</v>
      </c>
      <c r="U128" s="19">
        <f>SUM(U122:U126)</f>
        <v>0</v>
      </c>
      <c r="V128" s="19">
        <f>SUM(V122:V126)</f>
        <v>0</v>
      </c>
      <c r="W128" s="19"/>
      <c r="X128" s="19">
        <f>SUM(X122:X126)</f>
        <v>0</v>
      </c>
      <c r="Y128" s="19">
        <f>SUM(Y122:Y126)</f>
        <v>17494.313999999998</v>
      </c>
      <c r="Z128" s="19">
        <f>SUM(Z122:Z126)</f>
        <v>0.22588999999970838</v>
      </c>
      <c r="AA128" s="19">
        <f>SUM(AA122:AA126)</f>
        <v>181.31470999999999</v>
      </c>
      <c r="AB128" s="19">
        <f>SUM(AB122:AB126)</f>
        <v>5313.2258899999997</v>
      </c>
      <c r="AC128" s="19"/>
      <c r="AD128" s="19"/>
    </row>
    <row r="129" spans="1:45" x14ac:dyDescent="0.2">
      <c r="A129" s="18"/>
      <c r="D129" s="21" t="s">
        <v>57</v>
      </c>
      <c r="E129" s="21" t="s">
        <v>57</v>
      </c>
      <c r="F129" s="21" t="s">
        <v>57</v>
      </c>
      <c r="G129" s="21"/>
      <c r="H129" s="21" t="s">
        <v>57</v>
      </c>
      <c r="I129" s="21" t="s">
        <v>57</v>
      </c>
      <c r="J129" s="21" t="s">
        <v>57</v>
      </c>
      <c r="K129" s="21" t="s">
        <v>57</v>
      </c>
      <c r="L129" s="21" t="s">
        <v>57</v>
      </c>
      <c r="M129" s="21"/>
      <c r="N129" s="21" t="s">
        <v>57</v>
      </c>
      <c r="O129" s="21" t="s">
        <v>57</v>
      </c>
      <c r="P129" s="21" t="s">
        <v>57</v>
      </c>
      <c r="Q129" s="21"/>
      <c r="R129" s="21" t="s">
        <v>57</v>
      </c>
      <c r="S129" s="21" t="s">
        <v>57</v>
      </c>
      <c r="T129" s="21" t="s">
        <v>57</v>
      </c>
      <c r="U129" s="21" t="s">
        <v>57</v>
      </c>
      <c r="V129" s="21" t="s">
        <v>57</v>
      </c>
      <c r="W129" s="21"/>
      <c r="X129" s="21" t="s">
        <v>57</v>
      </c>
      <c r="Y129" s="21" t="s">
        <v>57</v>
      </c>
      <c r="Z129" s="21" t="s">
        <v>57</v>
      </c>
      <c r="AA129" s="21" t="s">
        <v>57</v>
      </c>
      <c r="AB129" s="21" t="s">
        <v>57</v>
      </c>
      <c r="AC129" s="21"/>
      <c r="AD129" s="21"/>
    </row>
    <row r="130" spans="1:45" x14ac:dyDescent="0.2">
      <c r="A130" s="18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35"/>
      <c r="Z130" s="35"/>
      <c r="AA130" s="21"/>
      <c r="AB130" s="21"/>
      <c r="AC130" s="21"/>
      <c r="AD130" s="21"/>
    </row>
    <row r="131" spans="1:45" x14ac:dyDescent="0.2">
      <c r="A131" s="18">
        <v>10</v>
      </c>
      <c r="B131" s="3" t="s">
        <v>103</v>
      </c>
      <c r="C131" s="17" t="s">
        <v>51</v>
      </c>
      <c r="D131" s="19">
        <f>3610919/1000</f>
        <v>3610.9189999999999</v>
      </c>
      <c r="E131" s="19">
        <f>[1]TOBEPAID!E110/1000</f>
        <v>3077.7613900000001</v>
      </c>
      <c r="F131" s="19">
        <f>[1]TOBEPAID!F110/1000</f>
        <v>0</v>
      </c>
      <c r="G131" s="19">
        <f>[1]TOBEPAID!G110/1000</f>
        <v>0</v>
      </c>
      <c r="H131" s="19">
        <f>3077761/1000</f>
        <v>3077.761</v>
      </c>
      <c r="I131" s="19">
        <f>[1]TOBEPAID!I110/1000</f>
        <v>0</v>
      </c>
      <c r="J131" s="19">
        <f>[1]TOBEPAID!J110/1000</f>
        <v>0</v>
      </c>
      <c r="K131" s="19">
        <f>[1]TOBEPAID!K110/1000</f>
        <v>0</v>
      </c>
      <c r="L131" s="19">
        <f>[1]TOBEPAID!L110/1000</f>
        <v>0</v>
      </c>
      <c r="M131" s="19">
        <f>[1]TOBEPAID!M110/1000</f>
        <v>0</v>
      </c>
      <c r="N131" s="19">
        <f>[1]TOBEPAID!N110/1000</f>
        <v>3077.7613900000001</v>
      </c>
      <c r="O131" s="19">
        <f>[1]TOBEPAID!O110/1000</f>
        <v>37.527260000000005</v>
      </c>
      <c r="P131" s="19">
        <f>[1]TOBEPAID!P110/1000</f>
        <v>0</v>
      </c>
      <c r="Q131" s="19">
        <f>[1]TOBEPAID!Q110/1000</f>
        <v>0</v>
      </c>
      <c r="R131" s="19">
        <f>37527/1000</f>
        <v>37.527000000000001</v>
      </c>
      <c r="S131" s="19">
        <f>[1]TOBEPAID!S110/1000</f>
        <v>0</v>
      </c>
      <c r="T131" s="19">
        <f>[1]TOBEPAID!T110/1000</f>
        <v>0</v>
      </c>
      <c r="U131" s="19">
        <f>[1]TOBEPAID!U110/1000</f>
        <v>0</v>
      </c>
      <c r="V131" s="19">
        <f>[1]TOBEPAID!V110/1000</f>
        <v>0</v>
      </c>
      <c r="W131" s="19">
        <f>[1]TOBEPAID!W110/1000</f>
        <v>0</v>
      </c>
      <c r="X131" s="19">
        <f>[1]TOBEPAID!X110/1000</f>
        <v>37.527260000000005</v>
      </c>
      <c r="Y131" s="19">
        <f>+H131+R131</f>
        <v>3115.288</v>
      </c>
      <c r="Z131" s="19">
        <f>+D131-Y131</f>
        <v>495.63099999999986</v>
      </c>
      <c r="AA131" s="19">
        <f>[1]TOBEPAID!AA110/1000</f>
        <v>3115.28865</v>
      </c>
      <c r="AB131" s="19">
        <f>[1]TOBEPAID!AB110/1000</f>
        <v>495.6305900000001</v>
      </c>
      <c r="AC131" s="19"/>
      <c r="AD131" s="19"/>
    </row>
    <row r="132" spans="1:45" x14ac:dyDescent="0.2">
      <c r="C132" s="3" t="s">
        <v>53</v>
      </c>
      <c r="D132" s="19">
        <f>3398326/1000</f>
        <v>3398.326</v>
      </c>
      <c r="E132" s="19">
        <f>[1]TOBEPAID!E111/1000</f>
        <v>3398.3260399999999</v>
      </c>
      <c r="F132" s="19">
        <f>[1]TOBEPAID!F111/1000</f>
        <v>0</v>
      </c>
      <c r="G132" s="19">
        <f>[1]TOBEPAID!G111/1000</f>
        <v>0</v>
      </c>
      <c r="H132" s="19">
        <f>3398326/1000</f>
        <v>3398.326</v>
      </c>
      <c r="I132" s="19">
        <f>[1]TOBEPAID!I111/1000</f>
        <v>0</v>
      </c>
      <c r="J132" s="19">
        <f>[1]TOBEPAID!J111/1000</f>
        <v>0</v>
      </c>
      <c r="K132" s="19">
        <f>[1]TOBEPAID!K111/1000</f>
        <v>0</v>
      </c>
      <c r="L132" s="19">
        <f>[1]TOBEPAID!L111/1000</f>
        <v>0</v>
      </c>
      <c r="M132" s="19">
        <f>[1]TOBEPAID!M111/1000</f>
        <v>0</v>
      </c>
      <c r="N132" s="19">
        <f>[1]TOBEPAID!N111/1000</f>
        <v>3398.3260399999999</v>
      </c>
      <c r="O132" s="19">
        <f>[1]TOBEPAID!O111/1000</f>
        <v>0</v>
      </c>
      <c r="P132" s="19">
        <f>[1]TOBEPAID!P111/1000</f>
        <v>0</v>
      </c>
      <c r="Q132" s="19">
        <f>[1]TOBEPAID!Q111/1000</f>
        <v>0</v>
      </c>
      <c r="R132" s="19">
        <v>0</v>
      </c>
      <c r="S132" s="19">
        <f>[1]TOBEPAID!S111/1000</f>
        <v>0</v>
      </c>
      <c r="T132" s="19">
        <f>[1]TOBEPAID!T111/1000</f>
        <v>0</v>
      </c>
      <c r="U132" s="19">
        <f>[1]TOBEPAID!U111/1000</f>
        <v>0</v>
      </c>
      <c r="V132" s="19">
        <f>[1]TOBEPAID!V111/1000</f>
        <v>0</v>
      </c>
      <c r="W132" s="19">
        <f>[1]TOBEPAID!W111/1000</f>
        <v>0</v>
      </c>
      <c r="X132" s="19">
        <f>[1]TOBEPAID!X111/1000</f>
        <v>0</v>
      </c>
      <c r="Y132" s="19">
        <f t="shared" ref="Y132:Y140" si="18">+H132+R132</f>
        <v>3398.326</v>
      </c>
      <c r="Z132" s="19">
        <f t="shared" ref="Z132:Z137" si="19">+D132-Y132</f>
        <v>0</v>
      </c>
      <c r="AA132" s="19">
        <f>[1]TOBEPAID!AA111/1000</f>
        <v>3398.3260399999999</v>
      </c>
      <c r="AB132" s="19">
        <f>[1]TOBEPAID!AB111/1000</f>
        <v>0</v>
      </c>
      <c r="AC132" s="19"/>
      <c r="AD132" s="19"/>
    </row>
    <row r="133" spans="1:45" x14ac:dyDescent="0.2">
      <c r="C133" s="3" t="s">
        <v>75</v>
      </c>
      <c r="D133" s="3">
        <f>2662166/1000</f>
        <v>2662.1660000000002</v>
      </c>
      <c r="H133" s="3">
        <f>2662166/1000</f>
        <v>2662.1660000000002</v>
      </c>
      <c r="R133" s="19">
        <v>0</v>
      </c>
      <c r="Y133" s="19">
        <f t="shared" si="18"/>
        <v>2662.1660000000002</v>
      </c>
      <c r="Z133" s="19">
        <f t="shared" si="19"/>
        <v>0</v>
      </c>
    </row>
    <row r="134" spans="1:45" x14ac:dyDescent="0.2">
      <c r="C134" s="3" t="s">
        <v>75</v>
      </c>
      <c r="D134" s="3">
        <f>653700/1000</f>
        <v>653.70000000000005</v>
      </c>
      <c r="H134" s="3">
        <f>653700/1000</f>
        <v>653.70000000000005</v>
      </c>
      <c r="R134" s="19">
        <v>0</v>
      </c>
      <c r="Y134" s="19">
        <f t="shared" si="18"/>
        <v>653.70000000000005</v>
      </c>
      <c r="Z134" s="19">
        <f t="shared" si="19"/>
        <v>0</v>
      </c>
    </row>
    <row r="135" spans="1:45" x14ac:dyDescent="0.2">
      <c r="C135" s="3" t="s">
        <v>76</v>
      </c>
      <c r="D135" s="3">
        <f>4953081/1000</f>
        <v>4953.0810000000001</v>
      </c>
      <c r="H135" s="3">
        <f>4953081/1000</f>
        <v>4953.0810000000001</v>
      </c>
      <c r="R135" s="19">
        <v>0</v>
      </c>
      <c r="Y135" s="19">
        <f t="shared" si="18"/>
        <v>4953.0810000000001</v>
      </c>
      <c r="Z135" s="19">
        <f t="shared" si="19"/>
        <v>0</v>
      </c>
    </row>
    <row r="136" spans="1:45" x14ac:dyDescent="0.2">
      <c r="C136" s="3" t="s">
        <v>104</v>
      </c>
      <c r="D136" s="3">
        <f>2638846/1000</f>
        <v>2638.846</v>
      </c>
      <c r="H136" s="3">
        <f>2638846/1000</f>
        <v>2638.846</v>
      </c>
      <c r="R136" s="19">
        <v>0</v>
      </c>
      <c r="Y136" s="19">
        <f t="shared" si="18"/>
        <v>2638.846</v>
      </c>
      <c r="Z136" s="19">
        <f t="shared" si="19"/>
        <v>0</v>
      </c>
    </row>
    <row r="137" spans="1:45" x14ac:dyDescent="0.2">
      <c r="C137" s="39" t="s">
        <v>105</v>
      </c>
      <c r="D137" s="3">
        <f>5074188/1000</f>
        <v>5074.1880000000001</v>
      </c>
      <c r="H137" s="3">
        <f>5074188/1000</f>
        <v>5074.1880000000001</v>
      </c>
      <c r="R137" s="19">
        <v>0</v>
      </c>
      <c r="Y137" s="19">
        <f t="shared" si="18"/>
        <v>5074.1880000000001</v>
      </c>
      <c r="Z137" s="19">
        <f t="shared" si="19"/>
        <v>0</v>
      </c>
    </row>
    <row r="138" spans="1:45" x14ac:dyDescent="0.2">
      <c r="C138" s="3" t="s">
        <v>106</v>
      </c>
      <c r="D138" s="3">
        <f>1095845/1000</f>
        <v>1095.845</v>
      </c>
      <c r="H138" s="3">
        <f>1095845/1000</f>
        <v>1095.845</v>
      </c>
      <c r="R138" s="19">
        <v>0</v>
      </c>
      <c r="Y138" s="19">
        <f t="shared" si="18"/>
        <v>1095.845</v>
      </c>
      <c r="Z138" s="19">
        <f>+D138-Y138</f>
        <v>0</v>
      </c>
    </row>
    <row r="139" spans="1:45" x14ac:dyDescent="0.2">
      <c r="C139" s="3" t="s">
        <v>107</v>
      </c>
      <c r="D139" s="19">
        <f>1308680/1000</f>
        <v>1308.68</v>
      </c>
      <c r="E139" s="19">
        <f>[1]TOBEPAID!E112/1000</f>
        <v>1308.68</v>
      </c>
      <c r="F139" s="19">
        <f>[1]TOBEPAID!F112/1000</f>
        <v>0</v>
      </c>
      <c r="G139" s="19">
        <f>[1]TOBEPAID!G112/1000</f>
        <v>0</v>
      </c>
      <c r="H139" s="19">
        <f>1308680/1000</f>
        <v>1308.68</v>
      </c>
      <c r="I139" s="19">
        <f>[1]TOBEPAID!I112/1000</f>
        <v>0</v>
      </c>
      <c r="J139" s="19">
        <f>[1]TOBEPAID!J112/1000</f>
        <v>0</v>
      </c>
      <c r="K139" s="19">
        <f>[1]TOBEPAID!K112/1000</f>
        <v>0</v>
      </c>
      <c r="L139" s="19">
        <f>[1]TOBEPAID!L112/1000</f>
        <v>0</v>
      </c>
      <c r="M139" s="19">
        <f>[1]TOBEPAID!M112/1000</f>
        <v>0</v>
      </c>
      <c r="N139" s="19">
        <f>[1]TOBEPAID!N112/1000</f>
        <v>1308.68</v>
      </c>
      <c r="O139" s="19">
        <f>[1]TOBEPAID!O112/1000</f>
        <v>0</v>
      </c>
      <c r="P139" s="19">
        <f>[1]TOBEPAID!P112/1000</f>
        <v>0</v>
      </c>
      <c r="Q139" s="19">
        <f>[1]TOBEPAID!Q112/1000</f>
        <v>0</v>
      </c>
      <c r="R139" s="19">
        <v>0</v>
      </c>
      <c r="S139" s="19">
        <f>[1]TOBEPAID!S112/1000</f>
        <v>0</v>
      </c>
      <c r="T139" s="19">
        <f>[1]TOBEPAID!T112/1000</f>
        <v>0</v>
      </c>
      <c r="U139" s="19">
        <f>[1]TOBEPAID!U112/1000</f>
        <v>0</v>
      </c>
      <c r="V139" s="19">
        <f>[1]TOBEPAID!V112/1000</f>
        <v>0</v>
      </c>
      <c r="W139" s="19">
        <f>[1]TOBEPAID!W112/1000</f>
        <v>0</v>
      </c>
      <c r="X139" s="19">
        <f>[1]TOBEPAID!X112/1000</f>
        <v>0</v>
      </c>
      <c r="Y139" s="19">
        <f t="shared" si="18"/>
        <v>1308.68</v>
      </c>
      <c r="Z139" s="19">
        <f>+D139-Y139</f>
        <v>0</v>
      </c>
      <c r="AA139" s="19">
        <f>[1]TOBEPAID!AA112/1000</f>
        <v>1308.68</v>
      </c>
      <c r="AB139" s="19">
        <f>[1]TOBEPAID!AB112/1000</f>
        <v>0</v>
      </c>
      <c r="AC139" s="19"/>
      <c r="AD139" s="19"/>
      <c r="AS139" s="34">
        <f t="shared" ref="AS139:AS144" si="20">+AF140-AK140-AP140</f>
        <v>-1.3299999991431832E-3</v>
      </c>
    </row>
    <row r="140" spans="1:45" x14ac:dyDescent="0.2">
      <c r="A140" s="18"/>
      <c r="C140" s="17" t="s">
        <v>108</v>
      </c>
      <c r="D140" s="19">
        <f>1146860/1000</f>
        <v>1146.8599999999999</v>
      </c>
      <c r="E140" s="19">
        <f>[1]TOBEPAID!E113/1000</f>
        <v>1146.8607500000001</v>
      </c>
      <c r="F140" s="19">
        <f>[1]TOBEPAID!F113/1000</f>
        <v>0</v>
      </c>
      <c r="G140" s="19">
        <f>[1]TOBEPAID!G113/1000</f>
        <v>0</v>
      </c>
      <c r="H140" s="19">
        <f>1146860/1000</f>
        <v>1146.8599999999999</v>
      </c>
      <c r="I140" s="19">
        <f>[1]TOBEPAID!I113/1000</f>
        <v>0</v>
      </c>
      <c r="J140" s="19">
        <f>[1]TOBEPAID!J113/1000</f>
        <v>0</v>
      </c>
      <c r="K140" s="19">
        <f>[1]TOBEPAID!K113/1000</f>
        <v>0</v>
      </c>
      <c r="L140" s="19">
        <f>[1]TOBEPAID!L113/1000</f>
        <v>0</v>
      </c>
      <c r="M140" s="19">
        <f>[1]TOBEPAID!M113/1000</f>
        <v>0</v>
      </c>
      <c r="N140" s="19">
        <f>[1]TOBEPAID!N113/1000</f>
        <v>1146.8607500000001</v>
      </c>
      <c r="O140" s="19">
        <f>[1]TOBEPAID!O113/1000</f>
        <v>0</v>
      </c>
      <c r="P140" s="19">
        <f>[1]TOBEPAID!P113/1000</f>
        <v>0</v>
      </c>
      <c r="Q140" s="19">
        <f>[1]TOBEPAID!Q113/1000</f>
        <v>0</v>
      </c>
      <c r="R140" s="19">
        <v>0</v>
      </c>
      <c r="S140" s="19">
        <f>[1]TOBEPAID!S113/1000</f>
        <v>0</v>
      </c>
      <c r="T140" s="19">
        <f>[1]TOBEPAID!T113/1000</f>
        <v>0</v>
      </c>
      <c r="U140" s="19">
        <f>[1]TOBEPAID!U113/1000</f>
        <v>0</v>
      </c>
      <c r="V140" s="19">
        <f>[1]TOBEPAID!V113/1000</f>
        <v>0</v>
      </c>
      <c r="W140" s="19">
        <f>[1]TOBEPAID!W113/1000</f>
        <v>0</v>
      </c>
      <c r="X140" s="19">
        <f>[1]TOBEPAID!X113/1000</f>
        <v>0</v>
      </c>
      <c r="Y140" s="19">
        <f t="shared" si="18"/>
        <v>1146.8599999999999</v>
      </c>
      <c r="Z140" s="19">
        <f>+D140-Y140</f>
        <v>0</v>
      </c>
      <c r="AA140" s="19">
        <f>[1]TOBEPAID!AA113/1000</f>
        <v>1146.8607500000001</v>
      </c>
      <c r="AB140" s="19">
        <f>[1]TOBEPAID!AB113/1000</f>
        <v>0</v>
      </c>
      <c r="AC140" s="19"/>
      <c r="AD140" s="19"/>
      <c r="AF140" s="34">
        <f>+D103+D132+D147+D123</f>
        <v>14305.552</v>
      </c>
      <c r="AG140" s="34">
        <f>+E103+E132+E147+E123</f>
        <v>14305.553329999999</v>
      </c>
      <c r="AH140" s="34">
        <f>+F103+F132+F147+F123</f>
        <v>0</v>
      </c>
      <c r="AI140" s="34">
        <f t="shared" ref="AI140:AI147" si="21">+AG140+AH140</f>
        <v>14305.553329999999</v>
      </c>
      <c r="AJ140" s="3">
        <f>+L103+L132+L147+L123</f>
        <v>0</v>
      </c>
      <c r="AK140" s="34">
        <f t="shared" ref="AK140:AK147" si="22">+AI140+AJ140</f>
        <v>14305.553329999999</v>
      </c>
      <c r="AL140" s="34">
        <f>+O103+O132+O147+O123</f>
        <v>0</v>
      </c>
      <c r="AM140" s="34">
        <f>+P103+P132+P147+P123</f>
        <v>0</v>
      </c>
      <c r="AN140" s="34">
        <f t="shared" ref="AN140:AN147" si="23">+AL140+AM140</f>
        <v>0</v>
      </c>
      <c r="AO140" s="34">
        <f>+V103+V132+V147+V123</f>
        <v>0</v>
      </c>
      <c r="AP140" s="34">
        <f t="shared" ref="AP140:AP147" si="24">+AN140+AO140</f>
        <v>0</v>
      </c>
      <c r="AQ140" s="34">
        <f t="shared" ref="AQ140:AQ147" si="25">+AI140+AN140</f>
        <v>14305.553329999999</v>
      </c>
      <c r="AR140" s="34">
        <f t="shared" ref="AR140:AR147" si="26">+AF140-AQ140</f>
        <v>-1.3299999991431832E-3</v>
      </c>
      <c r="AS140" s="34" t="e">
        <f t="shared" si="20"/>
        <v>#REF!</v>
      </c>
    </row>
    <row r="141" spans="1:45" x14ac:dyDescent="0.2">
      <c r="A141" s="18"/>
      <c r="D141" s="21" t="s">
        <v>57</v>
      </c>
      <c r="E141" s="21" t="s">
        <v>57</v>
      </c>
      <c r="F141" s="21" t="s">
        <v>57</v>
      </c>
      <c r="G141" s="21"/>
      <c r="H141" s="21" t="s">
        <v>57</v>
      </c>
      <c r="I141" s="21" t="s">
        <v>57</v>
      </c>
      <c r="J141" s="21" t="s">
        <v>57</v>
      </c>
      <c r="K141" s="21" t="s">
        <v>57</v>
      </c>
      <c r="L141" s="21" t="s">
        <v>57</v>
      </c>
      <c r="M141" s="21"/>
      <c r="N141" s="21" t="s">
        <v>57</v>
      </c>
      <c r="O141" s="21" t="s">
        <v>57</v>
      </c>
      <c r="P141" s="21" t="s">
        <v>57</v>
      </c>
      <c r="Q141" s="21"/>
      <c r="R141" s="21" t="s">
        <v>57</v>
      </c>
      <c r="S141" s="21" t="s">
        <v>57</v>
      </c>
      <c r="T141" s="21" t="s">
        <v>57</v>
      </c>
      <c r="U141" s="21" t="s">
        <v>57</v>
      </c>
      <c r="V141" s="21" t="s">
        <v>57</v>
      </c>
      <c r="W141" s="21"/>
      <c r="X141" s="21" t="s">
        <v>57</v>
      </c>
      <c r="Y141" s="21" t="s">
        <v>57</v>
      </c>
      <c r="Z141" s="21" t="s">
        <v>57</v>
      </c>
      <c r="AA141" s="21" t="s">
        <v>57</v>
      </c>
      <c r="AB141" s="21" t="s">
        <v>57</v>
      </c>
      <c r="AC141" s="21"/>
      <c r="AD141" s="21"/>
      <c r="AE141" s="33" t="s">
        <v>72</v>
      </c>
      <c r="AF141" s="34">
        <f>D101+D111+D122+D131+D145</f>
        <v>117171.59526999999</v>
      </c>
      <c r="AG141" s="34">
        <f>E101+E111+E122+E131+E145</f>
        <v>3077.7613900000001</v>
      </c>
      <c r="AH141" s="3">
        <f>F101+F111+F122+F131+F145</f>
        <v>0</v>
      </c>
      <c r="AI141" s="34">
        <f t="shared" si="21"/>
        <v>3077.7613900000001</v>
      </c>
      <c r="AJ141" s="3" t="e">
        <f>#REF!+L111+L122+L131+L145</f>
        <v>#REF!</v>
      </c>
      <c r="AK141" s="34" t="e">
        <f t="shared" si="22"/>
        <v>#REF!</v>
      </c>
      <c r="AL141" s="34">
        <f>O101+O111+O122+O131+O145</f>
        <v>893.66149999999993</v>
      </c>
      <c r="AM141" s="34">
        <f>P101+P111+P122+P131+P145</f>
        <v>0</v>
      </c>
      <c r="AN141" s="34">
        <f t="shared" si="23"/>
        <v>893.66149999999993</v>
      </c>
      <c r="AO141" s="34">
        <f>V101+V111+V122+V131+V145</f>
        <v>0</v>
      </c>
      <c r="AP141" s="34">
        <f t="shared" si="24"/>
        <v>893.66149999999993</v>
      </c>
      <c r="AQ141" s="34">
        <f t="shared" si="25"/>
        <v>3971.4228899999998</v>
      </c>
      <c r="AR141" s="34">
        <f t="shared" si="26"/>
        <v>113200.17237999999</v>
      </c>
      <c r="AS141" s="34">
        <f t="shared" si="20"/>
        <v>-1.5000000000782165E-3</v>
      </c>
    </row>
    <row r="142" spans="1:45" x14ac:dyDescent="0.2">
      <c r="A142" s="18"/>
      <c r="D142" s="35">
        <f>SUM(D131:D140)</f>
        <v>26542.611000000004</v>
      </c>
      <c r="E142" s="35">
        <f>SUM(E131:E140)</f>
        <v>8931.6281799999997</v>
      </c>
      <c r="F142" s="35">
        <f>SUM(F131:F140)</f>
        <v>0</v>
      </c>
      <c r="G142" s="35"/>
      <c r="H142" s="35">
        <f>SUM(H131:H140)</f>
        <v>26009.453000000001</v>
      </c>
      <c r="I142" s="35">
        <f>SUM(I131:I140)</f>
        <v>0</v>
      </c>
      <c r="J142" s="35">
        <f>SUM(J131:J140)</f>
        <v>0</v>
      </c>
      <c r="K142" s="35">
        <f>SUM(K131:K140)</f>
        <v>0</v>
      </c>
      <c r="L142" s="35">
        <f>SUM(L131:L140)</f>
        <v>0</v>
      </c>
      <c r="M142" s="35"/>
      <c r="N142" s="35">
        <f>SUM(N131:N140)</f>
        <v>8931.6281799999997</v>
      </c>
      <c r="O142" s="35">
        <f>SUM(O131:O140)</f>
        <v>37.527260000000005</v>
      </c>
      <c r="P142" s="35">
        <f>SUM(P131:P140)</f>
        <v>0</v>
      </c>
      <c r="Q142" s="35"/>
      <c r="R142" s="35">
        <f>SUM(R131:R140)</f>
        <v>37.527000000000001</v>
      </c>
      <c r="S142" s="35">
        <f>SUM(S131:S140)</f>
        <v>0</v>
      </c>
      <c r="T142" s="35">
        <f>SUM(T131:T140)</f>
        <v>0</v>
      </c>
      <c r="U142" s="35">
        <f>SUM(U131:U140)</f>
        <v>0</v>
      </c>
      <c r="V142" s="35">
        <f>SUM(V131:V140)</f>
        <v>0</v>
      </c>
      <c r="W142" s="35"/>
      <c r="X142" s="35">
        <f>SUM(X131:X140)</f>
        <v>37.527260000000005</v>
      </c>
      <c r="Y142" s="35">
        <f>SUM(Y131:Y140)</f>
        <v>26046.980000000003</v>
      </c>
      <c r="Z142" s="35">
        <f>SUM(Z131:Z140)</f>
        <v>495.63099999999986</v>
      </c>
      <c r="AA142" s="35">
        <f>SUM(AA131:AA140)</f>
        <v>8969.1554400000005</v>
      </c>
      <c r="AB142" s="35">
        <f>SUM(AB131:AB140)</f>
        <v>495.6305900000001</v>
      </c>
      <c r="AC142" s="35"/>
      <c r="AD142" s="35"/>
      <c r="AE142" s="25" t="s">
        <v>85</v>
      </c>
      <c r="AF142" s="34">
        <f>D102+D112+D125</f>
        <v>2030.7180000000001</v>
      </c>
      <c r="AG142" s="34">
        <f>E102+E112+E125</f>
        <v>2030.7195000000002</v>
      </c>
      <c r="AH142" s="3">
        <f>F102+F112+F125</f>
        <v>0</v>
      </c>
      <c r="AI142" s="34">
        <f t="shared" si="21"/>
        <v>2030.7195000000002</v>
      </c>
      <c r="AJ142" s="3">
        <f>L102+L112+L125+L140+L157</f>
        <v>0</v>
      </c>
      <c r="AK142" s="34">
        <f t="shared" si="22"/>
        <v>2030.7195000000002</v>
      </c>
      <c r="AL142" s="34">
        <f>O102+O112+O125</f>
        <v>0</v>
      </c>
      <c r="AM142" s="34">
        <f>P102+P112+P125</f>
        <v>0</v>
      </c>
      <c r="AN142" s="34">
        <f t="shared" si="23"/>
        <v>0</v>
      </c>
      <c r="AO142" s="34">
        <f>V102+V112+V125</f>
        <v>0</v>
      </c>
      <c r="AP142" s="34">
        <f t="shared" si="24"/>
        <v>0</v>
      </c>
      <c r="AQ142" s="34">
        <f t="shared" si="25"/>
        <v>2030.7195000000002</v>
      </c>
      <c r="AR142" s="34">
        <f t="shared" si="26"/>
        <v>-1.5000000000782165E-3</v>
      </c>
      <c r="AS142" s="34" t="e">
        <f t="shared" si="20"/>
        <v>#VALUE!</v>
      </c>
    </row>
    <row r="143" spans="1:45" x14ac:dyDescent="0.2">
      <c r="A143" s="18"/>
      <c r="D143" s="21" t="s">
        <v>57</v>
      </c>
      <c r="E143" s="21" t="s">
        <v>57</v>
      </c>
      <c r="F143" s="21" t="s">
        <v>57</v>
      </c>
      <c r="G143" s="21"/>
      <c r="H143" s="21" t="s">
        <v>57</v>
      </c>
      <c r="I143" s="21" t="s">
        <v>57</v>
      </c>
      <c r="J143" s="21" t="s">
        <v>57</v>
      </c>
      <c r="K143" s="21" t="s">
        <v>57</v>
      </c>
      <c r="L143" s="21" t="s">
        <v>57</v>
      </c>
      <c r="M143" s="21"/>
      <c r="N143" s="21" t="s">
        <v>57</v>
      </c>
      <c r="O143" s="21" t="s">
        <v>57</v>
      </c>
      <c r="P143" s="21" t="s">
        <v>57</v>
      </c>
      <c r="Q143" s="21"/>
      <c r="R143" s="21" t="s">
        <v>57</v>
      </c>
      <c r="S143" s="21" t="s">
        <v>57</v>
      </c>
      <c r="T143" s="21" t="s">
        <v>57</v>
      </c>
      <c r="U143" s="21" t="s">
        <v>57</v>
      </c>
      <c r="V143" s="21" t="s">
        <v>57</v>
      </c>
      <c r="W143" s="21"/>
      <c r="X143" s="21" t="s">
        <v>57</v>
      </c>
      <c r="Y143" s="21" t="s">
        <v>57</v>
      </c>
      <c r="Z143" s="21" t="s">
        <v>57</v>
      </c>
      <c r="AA143" s="21" t="s">
        <v>57</v>
      </c>
      <c r="AB143" s="21" t="s">
        <v>57</v>
      </c>
      <c r="AC143" s="21"/>
      <c r="AD143" s="21"/>
      <c r="AE143" s="25" t="s">
        <v>52</v>
      </c>
      <c r="AF143" s="34">
        <f t="shared" ref="AF143:AH144" si="27">D104+D115+D157</f>
        <v>9750.741</v>
      </c>
      <c r="AG143" s="34">
        <f t="shared" si="27"/>
        <v>95.117999999999995</v>
      </c>
      <c r="AH143" s="3">
        <f t="shared" si="27"/>
        <v>0</v>
      </c>
      <c r="AI143" s="34">
        <f t="shared" si="21"/>
        <v>95.117999999999995</v>
      </c>
      <c r="AJ143" s="3" t="e">
        <f>L104+L113+L126+L141+L158</f>
        <v>#VALUE!</v>
      </c>
      <c r="AK143" s="34" t="e">
        <f t="shared" si="22"/>
        <v>#VALUE!</v>
      </c>
      <c r="AL143" s="34">
        <f>O104+O115+O157</f>
        <v>9159.8207399999992</v>
      </c>
      <c r="AM143" s="34">
        <f>P104+P115+P157</f>
        <v>0</v>
      </c>
      <c r="AN143" s="34">
        <f t="shared" si="23"/>
        <v>9159.8207399999992</v>
      </c>
      <c r="AO143" s="34">
        <f>V104+V115+V157</f>
        <v>0</v>
      </c>
      <c r="AP143" s="34">
        <f t="shared" si="24"/>
        <v>9159.8207399999992</v>
      </c>
      <c r="AQ143" s="34">
        <f t="shared" si="25"/>
        <v>9254.9387399999996</v>
      </c>
      <c r="AR143" s="34">
        <f t="shared" si="26"/>
        <v>495.80226000000039</v>
      </c>
      <c r="AS143" s="34" t="e">
        <f t="shared" si="20"/>
        <v>#VALUE!</v>
      </c>
    </row>
    <row r="144" spans="1:45" x14ac:dyDescent="0.2">
      <c r="A144" s="18"/>
      <c r="D144" s="21"/>
      <c r="E144" s="35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5" t="s">
        <v>96</v>
      </c>
      <c r="AF144" s="34">
        <f t="shared" si="27"/>
        <v>38237.355000000003</v>
      </c>
      <c r="AG144" s="34">
        <f t="shared" si="27"/>
        <v>0</v>
      </c>
      <c r="AH144" s="3">
        <f t="shared" si="27"/>
        <v>0</v>
      </c>
      <c r="AI144" s="34">
        <f t="shared" si="21"/>
        <v>0</v>
      </c>
      <c r="AJ144" s="3" t="e">
        <f>L105+L115+L127+L142+L159</f>
        <v>#VALUE!</v>
      </c>
      <c r="AK144" s="34" t="e">
        <f t="shared" si="22"/>
        <v>#VALUE!</v>
      </c>
      <c r="AL144" s="34">
        <f>O105+O116+O158</f>
        <v>38237.355839999997</v>
      </c>
      <c r="AM144" s="34">
        <f>P105+P116+P158</f>
        <v>0</v>
      </c>
      <c r="AN144" s="34">
        <f t="shared" si="23"/>
        <v>38237.355839999997</v>
      </c>
      <c r="AO144" s="34">
        <f>V105+V116+V158</f>
        <v>0</v>
      </c>
      <c r="AP144" s="34">
        <f t="shared" si="24"/>
        <v>38237.355839999997</v>
      </c>
      <c r="AQ144" s="34">
        <f t="shared" si="25"/>
        <v>38237.355839999997</v>
      </c>
      <c r="AR144" s="34">
        <f t="shared" si="26"/>
        <v>-8.3999999333173037E-4</v>
      </c>
      <c r="AS144" s="34">
        <f t="shared" si="20"/>
        <v>-1.6999999996869519E-4</v>
      </c>
    </row>
    <row r="145" spans="1:45" x14ac:dyDescent="0.2">
      <c r="A145" s="18">
        <v>11</v>
      </c>
      <c r="B145" s="3" t="s">
        <v>109</v>
      </c>
      <c r="C145" s="17" t="s">
        <v>51</v>
      </c>
      <c r="D145" s="19">
        <f>1861134/1000</f>
        <v>1861.134</v>
      </c>
      <c r="E145" s="19">
        <f>[1]TOBEPAID!E118/1000</f>
        <v>0</v>
      </c>
      <c r="F145" s="19">
        <f>[1]TOBEPAID!F118/1000</f>
        <v>0</v>
      </c>
      <c r="G145" s="19">
        <f>[1]TOBEPAID!G118/1000</f>
        <v>0</v>
      </c>
      <c r="H145" s="19">
        <f>1005000/1000</f>
        <v>1005</v>
      </c>
      <c r="I145" s="19">
        <f>[1]TOBEPAID!I118/1000</f>
        <v>0</v>
      </c>
      <c r="J145" s="19">
        <f>[1]TOBEPAID!J118/1000</f>
        <v>0</v>
      </c>
      <c r="K145" s="19">
        <f>[1]TOBEPAID!K118/1000</f>
        <v>0</v>
      </c>
      <c r="L145" s="19">
        <f>[1]TOBEPAID!L118/1000</f>
        <v>0</v>
      </c>
      <c r="M145" s="19">
        <f>[1]TOBEPAID!M118/1000</f>
        <v>0</v>
      </c>
      <c r="N145" s="19">
        <f>[1]TOBEPAID!N118/1000</f>
        <v>0</v>
      </c>
      <c r="O145" s="19">
        <f>[1]TOBEPAID!O118/1000</f>
        <v>856.13423999999998</v>
      </c>
      <c r="P145" s="19">
        <f>[1]TOBEPAID!P118/1000</f>
        <v>0</v>
      </c>
      <c r="Q145" s="19">
        <f>[1]TOBEPAID!Q118/1000</f>
        <v>0</v>
      </c>
      <c r="R145" s="19">
        <f>856134/1000</f>
        <v>856.13400000000001</v>
      </c>
      <c r="S145" s="19">
        <f>[1]TOBEPAID!S118/1000</f>
        <v>0</v>
      </c>
      <c r="T145" s="19">
        <f>[1]TOBEPAID!T118/1000</f>
        <v>0</v>
      </c>
      <c r="U145" s="19">
        <f>[1]TOBEPAID!U118/1000</f>
        <v>0</v>
      </c>
      <c r="V145" s="19">
        <f>[1]TOBEPAID!V118/1000</f>
        <v>0</v>
      </c>
      <c r="W145" s="19">
        <f>[1]TOBEPAID!W118/1000</f>
        <v>0</v>
      </c>
      <c r="X145" s="19">
        <f>[1]TOBEPAID!X118/1000</f>
        <v>856.13423999999998</v>
      </c>
      <c r="Y145" s="19">
        <f>+H145+R145</f>
        <v>1861.134</v>
      </c>
      <c r="Z145" s="19">
        <f t="shared" ref="Z145:Z158" si="28">+D145-Y145</f>
        <v>0</v>
      </c>
      <c r="AA145" s="19">
        <f>[1]TOBEPAID!AA118/1000</f>
        <v>0</v>
      </c>
      <c r="AB145" s="19">
        <f>[1]TOBEPAID!AB118/1000</f>
        <v>0</v>
      </c>
      <c r="AC145" s="19"/>
      <c r="AD145" s="19"/>
      <c r="AE145" s="25" t="s">
        <v>97</v>
      </c>
      <c r="AF145" s="34">
        <f>+D153</f>
        <v>448.459</v>
      </c>
      <c r="AG145" s="34">
        <f>+E153</f>
        <v>448.45916999999997</v>
      </c>
      <c r="AH145" s="34">
        <f>+F153</f>
        <v>0</v>
      </c>
      <c r="AI145" s="34">
        <f t="shared" si="21"/>
        <v>448.45916999999997</v>
      </c>
      <c r="AJ145" s="3">
        <f>+L153</f>
        <v>0</v>
      </c>
      <c r="AK145" s="34">
        <f t="shared" si="22"/>
        <v>448.45916999999997</v>
      </c>
      <c r="AL145" s="34">
        <f>+O153</f>
        <v>0</v>
      </c>
      <c r="AM145" s="34">
        <f>+P153</f>
        <v>0</v>
      </c>
      <c r="AN145" s="34">
        <f t="shared" si="23"/>
        <v>0</v>
      </c>
      <c r="AO145" s="34">
        <f>+V153</f>
        <v>0</v>
      </c>
      <c r="AP145" s="34">
        <f t="shared" si="24"/>
        <v>0</v>
      </c>
      <c r="AQ145" s="34">
        <f t="shared" si="25"/>
        <v>448.45916999999997</v>
      </c>
      <c r="AR145" s="34">
        <f t="shared" si="26"/>
        <v>-1.6999999996869519E-4</v>
      </c>
      <c r="AS145" s="34">
        <f>+AF147-AK147-AP147</f>
        <v>12380</v>
      </c>
    </row>
    <row r="146" spans="1:45" x14ac:dyDescent="0.2">
      <c r="A146" s="18"/>
      <c r="C146" s="17" t="s">
        <v>110</v>
      </c>
      <c r="D146" s="19">
        <f>125427000/1000</f>
        <v>125427</v>
      </c>
      <c r="E146" s="19"/>
      <c r="F146" s="19"/>
      <c r="G146" s="19"/>
      <c r="H146" s="19">
        <f>61714820/1000</f>
        <v>61714.82</v>
      </c>
      <c r="I146" s="19"/>
      <c r="J146" s="19"/>
      <c r="K146" s="19"/>
      <c r="L146" s="19"/>
      <c r="M146" s="19"/>
      <c r="N146" s="19"/>
      <c r="O146" s="19"/>
      <c r="P146" s="19"/>
      <c r="Q146" s="19"/>
      <c r="R146" s="19">
        <v>0</v>
      </c>
      <c r="S146" s="19"/>
      <c r="T146" s="19"/>
      <c r="U146" s="19"/>
      <c r="V146" s="19"/>
      <c r="W146" s="19"/>
      <c r="X146" s="19"/>
      <c r="Y146" s="19">
        <f>+H146+R146</f>
        <v>61714.82</v>
      </c>
      <c r="Z146" s="19">
        <f t="shared" si="28"/>
        <v>63712.18</v>
      </c>
      <c r="AA146" s="19"/>
      <c r="AB146" s="19"/>
      <c r="AC146" s="19"/>
      <c r="AD146" s="19"/>
      <c r="AE146" s="25"/>
      <c r="AF146" s="34"/>
      <c r="AG146" s="34"/>
      <c r="AH146" s="34"/>
      <c r="AI146" s="34"/>
      <c r="AK146" s="34"/>
      <c r="AL146" s="34"/>
      <c r="AM146" s="34"/>
      <c r="AN146" s="34"/>
      <c r="AO146" s="34"/>
      <c r="AP146" s="34"/>
      <c r="AQ146" s="34"/>
      <c r="AR146" s="34"/>
      <c r="AS146" s="34"/>
    </row>
    <row r="147" spans="1:45" x14ac:dyDescent="0.2">
      <c r="C147" s="3" t="s">
        <v>62</v>
      </c>
      <c r="D147" s="19">
        <f>6132528/1000</f>
        <v>6132.5280000000002</v>
      </c>
      <c r="E147" s="19">
        <f>[1]TOBEPAID!E119/1000</f>
        <v>6132.5286399999995</v>
      </c>
      <c r="F147" s="19">
        <f>[1]TOBEPAID!F119/1000</f>
        <v>0</v>
      </c>
      <c r="G147" s="19">
        <f>[1]TOBEPAID!G119/1000</f>
        <v>0</v>
      </c>
      <c r="H147" s="19">
        <f>6132528/1000</f>
        <v>6132.5280000000002</v>
      </c>
      <c r="I147" s="19">
        <f>[1]TOBEPAID!I119/1000</f>
        <v>0</v>
      </c>
      <c r="J147" s="19">
        <f>[1]TOBEPAID!J119/1000</f>
        <v>0</v>
      </c>
      <c r="K147" s="19">
        <f>[1]TOBEPAID!K119/1000</f>
        <v>0</v>
      </c>
      <c r="L147" s="19">
        <f>[1]TOBEPAID!L119/1000</f>
        <v>0</v>
      </c>
      <c r="M147" s="19">
        <f>[1]TOBEPAID!M119/1000</f>
        <v>0</v>
      </c>
      <c r="N147" s="19">
        <f>[1]TOBEPAID!N119/1000</f>
        <v>6132.5286399999995</v>
      </c>
      <c r="O147" s="19">
        <f>[1]TOBEPAID!O119/1000</f>
        <v>0</v>
      </c>
      <c r="P147" s="19">
        <f>[1]TOBEPAID!P119/1000</f>
        <v>0</v>
      </c>
      <c r="Q147" s="19">
        <f>[1]TOBEPAID!Q119/1000</f>
        <v>0</v>
      </c>
      <c r="R147" s="19">
        <v>0</v>
      </c>
      <c r="S147" s="19">
        <f>[1]TOBEPAID!S119/1000</f>
        <v>0</v>
      </c>
      <c r="T147" s="19">
        <f>[1]TOBEPAID!T119/1000</f>
        <v>0</v>
      </c>
      <c r="U147" s="19">
        <f>[1]TOBEPAID!U119/1000</f>
        <v>0</v>
      </c>
      <c r="V147" s="19">
        <f>[1]TOBEPAID!V119/1000</f>
        <v>0</v>
      </c>
      <c r="W147" s="19">
        <f>[1]TOBEPAID!W119/1000</f>
        <v>0</v>
      </c>
      <c r="X147" s="19">
        <f>[1]TOBEPAID!X119/1000</f>
        <v>0</v>
      </c>
      <c r="Y147" s="19">
        <f t="shared" ref="Y147:Y158" si="29">+H147+R147</f>
        <v>6132.5280000000002</v>
      </c>
      <c r="Z147" s="19">
        <f t="shared" si="28"/>
        <v>0</v>
      </c>
      <c r="AA147" s="19">
        <f>[1]TOBEPAID!AA119/1000</f>
        <v>0</v>
      </c>
      <c r="AB147" s="19">
        <f>[1]TOBEPAID!AB119/1000</f>
        <v>0</v>
      </c>
      <c r="AC147" s="19"/>
      <c r="AD147" s="19"/>
      <c r="AE147" s="25" t="s">
        <v>100</v>
      </c>
      <c r="AF147" s="34">
        <f>+D150</f>
        <v>65380</v>
      </c>
      <c r="AG147" s="34">
        <f>+E150</f>
        <v>49000</v>
      </c>
      <c r="AH147" s="3">
        <f>+F150</f>
        <v>4000</v>
      </c>
      <c r="AI147" s="34">
        <f t="shared" si="21"/>
        <v>53000</v>
      </c>
      <c r="AJ147" s="3">
        <f>+L150</f>
        <v>0</v>
      </c>
      <c r="AK147" s="34">
        <f t="shared" si="22"/>
        <v>53000</v>
      </c>
      <c r="AL147" s="34">
        <f>+O150</f>
        <v>0</v>
      </c>
      <c r="AM147" s="34">
        <f>+P150</f>
        <v>0</v>
      </c>
      <c r="AN147" s="34">
        <f t="shared" si="23"/>
        <v>0</v>
      </c>
      <c r="AO147" s="34">
        <f>+V150</f>
        <v>0</v>
      </c>
      <c r="AP147" s="34">
        <f t="shared" si="24"/>
        <v>0</v>
      </c>
      <c r="AQ147" s="34">
        <f t="shared" si="25"/>
        <v>53000</v>
      </c>
      <c r="AR147" s="34">
        <f t="shared" si="26"/>
        <v>12380</v>
      </c>
    </row>
    <row r="148" spans="1:45" x14ac:dyDescent="0.2">
      <c r="C148" s="3" t="s">
        <v>76</v>
      </c>
      <c r="D148" s="19">
        <f>10883575/1000</f>
        <v>10883.575000000001</v>
      </c>
      <c r="E148" s="19"/>
      <c r="F148" s="19"/>
      <c r="G148" s="19"/>
      <c r="H148" s="19">
        <f>10883575/1000</f>
        <v>10883.575000000001</v>
      </c>
      <c r="I148" s="19"/>
      <c r="J148" s="19"/>
      <c r="K148" s="19"/>
      <c r="L148" s="19"/>
      <c r="M148" s="19"/>
      <c r="N148" s="19"/>
      <c r="O148" s="19"/>
      <c r="P148" s="19"/>
      <c r="Q148" s="19"/>
      <c r="R148" s="19">
        <v>0</v>
      </c>
      <c r="S148" s="19"/>
      <c r="T148" s="19"/>
      <c r="U148" s="19"/>
      <c r="V148" s="19"/>
      <c r="W148" s="19"/>
      <c r="X148" s="19"/>
      <c r="Y148" s="19">
        <f t="shared" si="29"/>
        <v>10883.575000000001</v>
      </c>
      <c r="Z148" s="19">
        <f t="shared" si="28"/>
        <v>0</v>
      </c>
      <c r="AA148" s="19"/>
      <c r="AB148" s="19"/>
      <c r="AC148" s="19"/>
      <c r="AD148" s="19"/>
      <c r="AE148" s="25"/>
      <c r="AF148" s="34"/>
      <c r="AG148" s="34"/>
      <c r="AI148" s="34"/>
      <c r="AK148" s="34"/>
      <c r="AL148" s="34"/>
      <c r="AM148" s="34"/>
      <c r="AN148" s="34"/>
      <c r="AO148" s="34"/>
      <c r="AP148" s="34"/>
      <c r="AQ148" s="34"/>
      <c r="AR148" s="34"/>
    </row>
    <row r="149" spans="1:45" x14ac:dyDescent="0.2">
      <c r="C149" s="3" t="s">
        <v>63</v>
      </c>
      <c r="D149" s="19">
        <f>1192522/1000</f>
        <v>1192.5219999999999</v>
      </c>
      <c r="E149" s="19"/>
      <c r="F149" s="19"/>
      <c r="G149" s="19"/>
      <c r="H149" s="19">
        <f>1192522/1000</f>
        <v>1192.5219999999999</v>
      </c>
      <c r="I149" s="19"/>
      <c r="J149" s="19"/>
      <c r="K149" s="19"/>
      <c r="L149" s="19"/>
      <c r="M149" s="19"/>
      <c r="N149" s="19"/>
      <c r="O149" s="19"/>
      <c r="P149" s="19"/>
      <c r="Q149" s="19"/>
      <c r="R149" s="19">
        <v>0</v>
      </c>
      <c r="S149" s="19"/>
      <c r="T149" s="19"/>
      <c r="U149" s="19"/>
      <c r="V149" s="19"/>
      <c r="W149" s="19"/>
      <c r="X149" s="19"/>
      <c r="Y149" s="19">
        <f>+H149+R149</f>
        <v>1192.5219999999999</v>
      </c>
      <c r="Z149" s="19">
        <f t="shared" si="28"/>
        <v>0</v>
      </c>
      <c r="AA149" s="19"/>
      <c r="AB149" s="19"/>
      <c r="AC149" s="19"/>
      <c r="AD149" s="19"/>
      <c r="AE149" s="25"/>
      <c r="AF149" s="34"/>
      <c r="AG149" s="34"/>
      <c r="AI149" s="34"/>
      <c r="AK149" s="34"/>
      <c r="AL149" s="34"/>
      <c r="AM149" s="34"/>
      <c r="AN149" s="34"/>
      <c r="AO149" s="34"/>
      <c r="AP149" s="34"/>
      <c r="AQ149" s="34"/>
      <c r="AR149" s="34"/>
    </row>
    <row r="150" spans="1:45" x14ac:dyDescent="0.2">
      <c r="C150" s="3" t="s">
        <v>67</v>
      </c>
      <c r="D150" s="19">
        <f>65380000/1000</f>
        <v>65380</v>
      </c>
      <c r="E150" s="19">
        <f>[1]TOBEPAID!E120/1000</f>
        <v>49000</v>
      </c>
      <c r="F150" s="19">
        <f>[1]TOBEPAID!F120/1000</f>
        <v>4000</v>
      </c>
      <c r="G150" s="19">
        <f>[1]TOBEPAID!G120/1000</f>
        <v>0</v>
      </c>
      <c r="H150" s="19">
        <f>65380000/1000</f>
        <v>65380</v>
      </c>
      <c r="I150" s="19">
        <f>[1]TOBEPAID!I120/1000</f>
        <v>0</v>
      </c>
      <c r="J150" s="19">
        <f>[1]TOBEPAID!J120/1000</f>
        <v>0</v>
      </c>
      <c r="K150" s="19">
        <f>[1]TOBEPAID!K120/1000</f>
        <v>0</v>
      </c>
      <c r="L150" s="19">
        <f>[1]TOBEPAID!L120/1000</f>
        <v>0</v>
      </c>
      <c r="M150" s="19">
        <f>[1]TOBEPAID!M120/1000</f>
        <v>0</v>
      </c>
      <c r="N150" s="19">
        <f>[1]TOBEPAID!N120/1000</f>
        <v>53000</v>
      </c>
      <c r="O150" s="19">
        <f>[1]TOBEPAID!O120/1000</f>
        <v>0</v>
      </c>
      <c r="P150" s="19">
        <f>[1]TOBEPAID!P120/1000</f>
        <v>0</v>
      </c>
      <c r="Q150" s="19">
        <f>[1]TOBEPAID!Q120/1000</f>
        <v>0</v>
      </c>
      <c r="R150" s="19">
        <v>0</v>
      </c>
      <c r="S150" s="19">
        <f>[1]TOBEPAID!S120/1000</f>
        <v>0</v>
      </c>
      <c r="T150" s="19">
        <f>[1]TOBEPAID!T120/1000</f>
        <v>0</v>
      </c>
      <c r="U150" s="19">
        <f>[1]TOBEPAID!U120/1000</f>
        <v>0</v>
      </c>
      <c r="V150" s="19">
        <f>[1]TOBEPAID!V120/1000</f>
        <v>0</v>
      </c>
      <c r="W150" s="19">
        <f>[1]TOBEPAID!W120/1000</f>
        <v>0</v>
      </c>
      <c r="X150" s="19">
        <f>[1]TOBEPAID!X120/1000</f>
        <v>0</v>
      </c>
      <c r="Y150" s="19">
        <f t="shared" si="29"/>
        <v>65380</v>
      </c>
      <c r="Z150" s="19">
        <f t="shared" si="28"/>
        <v>0</v>
      </c>
      <c r="AA150" s="19">
        <f>[1]TOBEPAID!AA120/1000</f>
        <v>0</v>
      </c>
      <c r="AB150" s="19">
        <f>[1]TOBEPAID!AB120/1000</f>
        <v>0</v>
      </c>
      <c r="AC150" s="19"/>
      <c r="AD150" s="19"/>
      <c r="AE150" s="25" t="s">
        <v>111</v>
      </c>
      <c r="AS150" s="34" t="e">
        <f>+AF153-AK153-AP153</f>
        <v>#VALUE!</v>
      </c>
    </row>
    <row r="151" spans="1:45" x14ac:dyDescent="0.2">
      <c r="C151" s="3" t="s">
        <v>112</v>
      </c>
      <c r="D151" s="19">
        <f>26346948/1000</f>
        <v>26346.948</v>
      </c>
      <c r="E151" s="19"/>
      <c r="F151" s="19"/>
      <c r="G151" s="19"/>
      <c r="H151" s="19">
        <f>26346948/1000</f>
        <v>26346.948</v>
      </c>
      <c r="I151" s="19"/>
      <c r="J151" s="19"/>
      <c r="K151" s="19"/>
      <c r="L151" s="19"/>
      <c r="M151" s="19"/>
      <c r="N151" s="19"/>
      <c r="O151" s="19"/>
      <c r="P151" s="19"/>
      <c r="Q151" s="19"/>
      <c r="R151" s="19">
        <v>0</v>
      </c>
      <c r="S151" s="19"/>
      <c r="T151" s="19"/>
      <c r="U151" s="19"/>
      <c r="V151" s="19"/>
      <c r="W151" s="19"/>
      <c r="X151" s="19"/>
      <c r="Y151" s="19">
        <f t="shared" si="29"/>
        <v>26346.948</v>
      </c>
      <c r="Z151" s="19">
        <f t="shared" si="28"/>
        <v>0</v>
      </c>
      <c r="AA151" s="19"/>
      <c r="AB151" s="19"/>
      <c r="AC151" s="19"/>
      <c r="AD151" s="19"/>
      <c r="AE151" s="25"/>
      <c r="AS151" s="34"/>
    </row>
    <row r="152" spans="1:45" x14ac:dyDescent="0.2">
      <c r="C152" s="3" t="s">
        <v>104</v>
      </c>
      <c r="D152" s="19">
        <f>4344633/1000</f>
        <v>4344.6329999999998</v>
      </c>
      <c r="E152" s="19"/>
      <c r="F152" s="19"/>
      <c r="G152" s="19"/>
      <c r="H152" s="19">
        <f>4344633/1000</f>
        <v>4344.6329999999998</v>
      </c>
      <c r="I152" s="19"/>
      <c r="J152" s="19"/>
      <c r="K152" s="19"/>
      <c r="L152" s="19"/>
      <c r="M152" s="19"/>
      <c r="N152" s="19"/>
      <c r="O152" s="19"/>
      <c r="P152" s="19"/>
      <c r="Q152" s="19"/>
      <c r="R152" s="19">
        <v>0</v>
      </c>
      <c r="S152" s="19"/>
      <c r="T152" s="19"/>
      <c r="U152" s="19"/>
      <c r="V152" s="19"/>
      <c r="W152" s="19"/>
      <c r="X152" s="19"/>
      <c r="Y152" s="19">
        <f t="shared" si="29"/>
        <v>4344.6329999999998</v>
      </c>
      <c r="Z152" s="19">
        <f t="shared" si="28"/>
        <v>0</v>
      </c>
      <c r="AA152" s="19"/>
      <c r="AB152" s="19"/>
      <c r="AC152" s="19"/>
      <c r="AD152" s="19"/>
      <c r="AE152" s="25"/>
      <c r="AS152" s="34"/>
    </row>
    <row r="153" spans="1:45" x14ac:dyDescent="0.2">
      <c r="C153" s="3" t="s">
        <v>107</v>
      </c>
      <c r="D153" s="19">
        <f>448459/1000</f>
        <v>448.459</v>
      </c>
      <c r="E153" s="19">
        <f>[1]TOBEPAID!E121/1000</f>
        <v>448.45916999999997</v>
      </c>
      <c r="F153" s="19">
        <f>[1]TOBEPAID!F121/1000</f>
        <v>0</v>
      </c>
      <c r="G153" s="19">
        <f>[1]TOBEPAID!G121/1000</f>
        <v>0</v>
      </c>
      <c r="H153" s="19">
        <f>448459/1000</f>
        <v>448.459</v>
      </c>
      <c r="I153" s="19">
        <f>[1]TOBEPAID!I121/1000</f>
        <v>0</v>
      </c>
      <c r="J153" s="19">
        <f>[1]TOBEPAID!J121/1000</f>
        <v>0</v>
      </c>
      <c r="K153" s="19">
        <f>[1]TOBEPAID!K121/1000</f>
        <v>0</v>
      </c>
      <c r="L153" s="19">
        <f>[1]TOBEPAID!L121/1000</f>
        <v>0</v>
      </c>
      <c r="M153" s="19">
        <f>[1]TOBEPAID!M121/1000</f>
        <v>0</v>
      </c>
      <c r="N153" s="19">
        <f>[1]TOBEPAID!N121/1000</f>
        <v>448.45916999999997</v>
      </c>
      <c r="O153" s="19">
        <f>[1]TOBEPAID!O121/1000</f>
        <v>0</v>
      </c>
      <c r="P153" s="19">
        <f>[1]TOBEPAID!P121/1000</f>
        <v>0</v>
      </c>
      <c r="Q153" s="19">
        <f>[1]TOBEPAID!Q121/1000</f>
        <v>0</v>
      </c>
      <c r="R153" s="19">
        <v>0</v>
      </c>
      <c r="S153" s="19">
        <f>[1]TOBEPAID!S121/1000</f>
        <v>0</v>
      </c>
      <c r="T153" s="19">
        <f>[1]TOBEPAID!T121/1000</f>
        <v>0</v>
      </c>
      <c r="U153" s="19">
        <f>[1]TOBEPAID!U121/1000</f>
        <v>0</v>
      </c>
      <c r="V153" s="19">
        <f>[1]TOBEPAID!V121/1000</f>
        <v>0</v>
      </c>
      <c r="W153" s="19">
        <f>[1]TOBEPAID!W121/1000</f>
        <v>0</v>
      </c>
      <c r="X153" s="19">
        <f>[1]TOBEPAID!X121/1000</f>
        <v>0</v>
      </c>
      <c r="Y153" s="19">
        <f t="shared" si="29"/>
        <v>448.459</v>
      </c>
      <c r="Z153" s="19">
        <f t="shared" si="28"/>
        <v>0</v>
      </c>
      <c r="AA153" s="19">
        <f>[1]TOBEPAID!AA121/1000</f>
        <v>0</v>
      </c>
      <c r="AB153" s="19">
        <f>[1]TOBEPAID!AB121/1000</f>
        <v>0</v>
      </c>
      <c r="AC153" s="19"/>
      <c r="AD153" s="19"/>
      <c r="AF153" s="34">
        <f>+D140+D139</f>
        <v>2455.54</v>
      </c>
      <c r="AG153" s="34">
        <f>+E140+E139</f>
        <v>2455.5407500000001</v>
      </c>
      <c r="AH153" s="3">
        <f>+F140+F139</f>
        <v>0</v>
      </c>
      <c r="AI153" s="34">
        <f>+AG153+AH153</f>
        <v>2455.5407500000001</v>
      </c>
      <c r="AJ153" s="3" t="e">
        <f>L106+L116+L128+L143+L160+L139</f>
        <v>#VALUE!</v>
      </c>
      <c r="AK153" s="34" t="e">
        <f>+AI153+AJ153</f>
        <v>#VALUE!</v>
      </c>
      <c r="AL153" s="34">
        <f>+O139</f>
        <v>0</v>
      </c>
      <c r="AM153" s="34">
        <f>+P140+P139</f>
        <v>0</v>
      </c>
      <c r="AN153" s="34">
        <f>+AL153+AM153</f>
        <v>0</v>
      </c>
      <c r="AO153" s="34">
        <f>+V140+V139</f>
        <v>0</v>
      </c>
      <c r="AP153" s="34">
        <f>+AN153+AO153</f>
        <v>0</v>
      </c>
      <c r="AQ153" s="34">
        <f>+AI153+AN153</f>
        <v>2455.5407500000001</v>
      </c>
      <c r="AR153" s="34">
        <f>+AF153-AQ153</f>
        <v>-7.5000000015279511E-4</v>
      </c>
      <c r="AS153" s="34" t="e">
        <f>+AF157-AK157-AP157</f>
        <v>#VALUE!</v>
      </c>
    </row>
    <row r="154" spans="1:45" x14ac:dyDescent="0.2">
      <c r="C154" s="3" t="s">
        <v>113</v>
      </c>
      <c r="D154" s="19">
        <f>5043865.99/1000</f>
        <v>5043.8659900000002</v>
      </c>
      <c r="E154" s="19"/>
      <c r="F154" s="19"/>
      <c r="G154" s="19"/>
      <c r="H154" s="19">
        <f>5043865.99/1000</f>
        <v>5043.8659900000002</v>
      </c>
      <c r="I154" s="19"/>
      <c r="J154" s="19"/>
      <c r="K154" s="19"/>
      <c r="L154" s="19"/>
      <c r="M154" s="19"/>
      <c r="N154" s="19"/>
      <c r="O154" s="19"/>
      <c r="P154" s="19"/>
      <c r="Q154" s="19"/>
      <c r="R154" s="19">
        <v>0</v>
      </c>
      <c r="S154" s="19"/>
      <c r="T154" s="19"/>
      <c r="U154" s="19"/>
      <c r="V154" s="19"/>
      <c r="W154" s="19"/>
      <c r="X154" s="19"/>
      <c r="Y154" s="19">
        <f t="shared" si="29"/>
        <v>5043.8659900000002</v>
      </c>
      <c r="Z154" s="19">
        <f t="shared" si="28"/>
        <v>0</v>
      </c>
      <c r="AA154" s="19"/>
      <c r="AB154" s="19"/>
      <c r="AC154" s="19"/>
      <c r="AD154" s="19"/>
      <c r="AF154" s="34"/>
      <c r="AG154" s="34"/>
      <c r="AI154" s="34"/>
      <c r="AK154" s="34"/>
      <c r="AL154" s="34"/>
      <c r="AM154" s="34"/>
      <c r="AN154" s="34"/>
      <c r="AO154" s="34"/>
      <c r="AP154" s="34"/>
      <c r="AQ154" s="34"/>
      <c r="AR154" s="34"/>
      <c r="AS154" s="34"/>
    </row>
    <row r="155" spans="1:45" x14ac:dyDescent="0.2">
      <c r="C155" s="3" t="s">
        <v>114</v>
      </c>
      <c r="D155" s="19">
        <f>1500000/1000</f>
        <v>1500</v>
      </c>
      <c r="E155" s="19"/>
      <c r="F155" s="19"/>
      <c r="G155" s="19"/>
      <c r="H155" s="19">
        <f>1500000/1000</f>
        <v>1500</v>
      </c>
      <c r="I155" s="19"/>
      <c r="J155" s="19"/>
      <c r="K155" s="19"/>
      <c r="L155" s="19"/>
      <c r="M155" s="19"/>
      <c r="N155" s="19"/>
      <c r="O155" s="19"/>
      <c r="P155" s="19"/>
      <c r="Q155" s="19"/>
      <c r="R155" s="19">
        <v>0</v>
      </c>
      <c r="S155" s="19"/>
      <c r="T155" s="19"/>
      <c r="U155" s="19"/>
      <c r="V155" s="19"/>
      <c r="W155" s="19"/>
      <c r="X155" s="19"/>
      <c r="Y155" s="19">
        <f t="shared" si="29"/>
        <v>1500</v>
      </c>
      <c r="Z155" s="19">
        <f t="shared" si="28"/>
        <v>0</v>
      </c>
      <c r="AA155" s="19"/>
      <c r="AB155" s="19"/>
      <c r="AC155" s="19"/>
      <c r="AD155" s="19"/>
      <c r="AF155" s="34"/>
      <c r="AG155" s="34"/>
      <c r="AI155" s="34"/>
      <c r="AK155" s="34"/>
      <c r="AL155" s="34"/>
      <c r="AM155" s="34"/>
      <c r="AN155" s="34"/>
      <c r="AO155" s="34"/>
      <c r="AP155" s="34"/>
      <c r="AQ155" s="34"/>
      <c r="AR155" s="34"/>
      <c r="AS155" s="34"/>
    </row>
    <row r="156" spans="1:45" x14ac:dyDescent="0.2">
      <c r="C156" s="3" t="s">
        <v>115</v>
      </c>
      <c r="D156" s="19">
        <f>5000000/1000</f>
        <v>5000</v>
      </c>
      <c r="E156" s="19"/>
      <c r="F156" s="19"/>
      <c r="G156" s="19"/>
      <c r="H156" s="19">
        <f>5000000/1000</f>
        <v>5000</v>
      </c>
      <c r="I156" s="19"/>
      <c r="J156" s="19"/>
      <c r="K156" s="19"/>
      <c r="L156" s="19"/>
      <c r="M156" s="19"/>
      <c r="N156" s="19"/>
      <c r="O156" s="19"/>
      <c r="P156" s="19"/>
      <c r="Q156" s="19"/>
      <c r="R156" s="19">
        <v>0</v>
      </c>
      <c r="S156" s="19"/>
      <c r="T156" s="19"/>
      <c r="U156" s="19"/>
      <c r="V156" s="19"/>
      <c r="W156" s="19"/>
      <c r="X156" s="19"/>
      <c r="Y156" s="19">
        <f t="shared" si="29"/>
        <v>5000</v>
      </c>
      <c r="Z156" s="19">
        <f t="shared" si="28"/>
        <v>0</v>
      </c>
      <c r="AA156" s="19"/>
      <c r="AB156" s="19"/>
      <c r="AC156" s="19"/>
      <c r="AD156" s="19"/>
      <c r="AF156" s="34"/>
      <c r="AG156" s="34"/>
      <c r="AI156" s="34"/>
      <c r="AK156" s="34"/>
      <c r="AL156" s="34"/>
      <c r="AM156" s="34"/>
      <c r="AN156" s="34"/>
      <c r="AO156" s="34"/>
      <c r="AP156" s="34"/>
      <c r="AQ156" s="34"/>
      <c r="AR156" s="34"/>
      <c r="AS156" s="34"/>
    </row>
    <row r="157" spans="1:45" x14ac:dyDescent="0.2">
      <c r="A157" s="18"/>
      <c r="C157" s="3" t="s">
        <v>96</v>
      </c>
      <c r="D157" s="19">
        <f>1445779/1000</f>
        <v>1445.779</v>
      </c>
      <c r="E157" s="19">
        <f>[1]TOBEPAID!E122/1000</f>
        <v>0</v>
      </c>
      <c r="F157" s="19">
        <f>[1]TOBEPAID!F122/1000</f>
        <v>0</v>
      </c>
      <c r="G157" s="19">
        <f>[1]TOBEPAID!G122/1000</f>
        <v>0</v>
      </c>
      <c r="H157" s="19">
        <v>0</v>
      </c>
      <c r="I157" s="19">
        <f>[1]TOBEPAID!I122/1000</f>
        <v>0</v>
      </c>
      <c r="J157" s="19">
        <f>[1]TOBEPAID!J122/1000</f>
        <v>0</v>
      </c>
      <c r="K157" s="19">
        <f>[1]TOBEPAID!K122/1000</f>
        <v>0</v>
      </c>
      <c r="L157" s="19">
        <f>[1]TOBEPAID!L122/1000</f>
        <v>0</v>
      </c>
      <c r="M157" s="19">
        <f>[1]TOBEPAID!M122/1000</f>
        <v>0</v>
      </c>
      <c r="N157" s="19">
        <f>[1]TOBEPAID!N122/1000</f>
        <v>0</v>
      </c>
      <c r="O157" s="19">
        <f>[1]TOBEPAID!O122/1000</f>
        <v>1386.8841399999999</v>
      </c>
      <c r="P157" s="19">
        <f>[1]TOBEPAID!P122/1000</f>
        <v>0</v>
      </c>
      <c r="Q157" s="19">
        <f>[1]TOBEPAID!Q122/1000</f>
        <v>0</v>
      </c>
      <c r="R157" s="19">
        <f>1484104/1000</f>
        <v>1484.104</v>
      </c>
      <c r="S157" s="19">
        <f>[1]TOBEPAID!S122/1000</f>
        <v>0</v>
      </c>
      <c r="T157" s="19">
        <f>[1]TOBEPAID!T122/1000</f>
        <v>0</v>
      </c>
      <c r="U157" s="19">
        <f>[1]TOBEPAID!U122/1000</f>
        <v>0</v>
      </c>
      <c r="V157" s="19">
        <f>[1]TOBEPAID!V122/1000</f>
        <v>0</v>
      </c>
      <c r="W157" s="19">
        <f>[1]TOBEPAID!W122/1000</f>
        <v>0</v>
      </c>
      <c r="X157" s="19">
        <f>[1]TOBEPAID!X122/1000</f>
        <v>1386.8841399999999</v>
      </c>
      <c r="Y157" s="19">
        <f t="shared" si="29"/>
        <v>1484.104</v>
      </c>
      <c r="Z157" s="19">
        <f t="shared" si="28"/>
        <v>-38.325000000000045</v>
      </c>
      <c r="AA157" s="19">
        <f>[1]TOBEPAID!AA122/1000</f>
        <v>0</v>
      </c>
      <c r="AB157" s="19">
        <f>[1]TOBEPAID!AB122/1000</f>
        <v>1063.8956599999999</v>
      </c>
      <c r="AC157" s="19" t="s">
        <v>116</v>
      </c>
      <c r="AD157" s="19"/>
      <c r="AE157" s="25" t="s">
        <v>117</v>
      </c>
      <c r="AF157" s="34">
        <f>+D126</f>
        <v>0</v>
      </c>
      <c r="AG157" s="34">
        <f>+E126</f>
        <v>0</v>
      </c>
      <c r="AH157" s="3">
        <f>+F126</f>
        <v>0</v>
      </c>
      <c r="AI157" s="34">
        <f>+AG157+AH157</f>
        <v>0</v>
      </c>
      <c r="AJ157" s="3" t="e">
        <f>L107+L117+L129+L144+L161</f>
        <v>#VALUE!</v>
      </c>
      <c r="AK157" s="34" t="e">
        <f>+AI157+AJ157</f>
        <v>#VALUE!</v>
      </c>
      <c r="AL157" s="34">
        <f>+O126</f>
        <v>0</v>
      </c>
      <c r="AM157" s="34">
        <f>+P126</f>
        <v>0</v>
      </c>
      <c r="AN157" s="34">
        <f>+AL157+AM157</f>
        <v>0</v>
      </c>
      <c r="AO157" s="34">
        <f>+R126</f>
        <v>0</v>
      </c>
      <c r="AP157" s="34">
        <f>+AN157+AO157</f>
        <v>0</v>
      </c>
      <c r="AQ157" s="34">
        <f>+AI157+AN157</f>
        <v>0</v>
      </c>
      <c r="AR157" s="34">
        <f>+AF157-AQ157</f>
        <v>0</v>
      </c>
      <c r="AS157" s="34" t="e">
        <f>+AF158-AK158-AP158</f>
        <v>#VALUE!</v>
      </c>
    </row>
    <row r="158" spans="1:45" x14ac:dyDescent="0.2">
      <c r="A158" s="18"/>
      <c r="C158" s="3" t="s">
        <v>97</v>
      </c>
      <c r="D158" s="19">
        <f>5603896/1000</f>
        <v>5603.8959999999997</v>
      </c>
      <c r="E158" s="19">
        <f>[1]TOBEPAID!E123/1000</f>
        <v>0</v>
      </c>
      <c r="F158" s="19">
        <f>[1]TOBEPAID!F123/1000</f>
        <v>0</v>
      </c>
      <c r="G158" s="19">
        <f>[1]TOBEPAID!G123/1000</f>
        <v>0</v>
      </c>
      <c r="H158" s="19">
        <v>0</v>
      </c>
      <c r="I158" s="19">
        <f>[1]TOBEPAID!I123/1000</f>
        <v>0</v>
      </c>
      <c r="J158" s="19">
        <f>[1]TOBEPAID!J123/1000</f>
        <v>0</v>
      </c>
      <c r="K158" s="19">
        <f>[1]TOBEPAID!K123/1000</f>
        <v>0</v>
      </c>
      <c r="L158" s="19">
        <f>[1]TOBEPAID!L123/1000</f>
        <v>0</v>
      </c>
      <c r="M158" s="19">
        <f>[1]TOBEPAID!M123/1000</f>
        <v>0</v>
      </c>
      <c r="N158" s="19">
        <f>[1]TOBEPAID!N123/1000</f>
        <v>0</v>
      </c>
      <c r="O158" s="19">
        <f>[1]TOBEPAID!O123/1000</f>
        <v>5603.8962599999995</v>
      </c>
      <c r="P158" s="19">
        <f>[1]TOBEPAID!P123/1000</f>
        <v>0</v>
      </c>
      <c r="Q158" s="19">
        <f>[1]TOBEPAID!Q123/1000</f>
        <v>0</v>
      </c>
      <c r="R158" s="19">
        <f>5603896/1000</f>
        <v>5603.8959999999997</v>
      </c>
      <c r="S158" s="19">
        <f>[1]TOBEPAID!S123/1000</f>
        <v>0</v>
      </c>
      <c r="T158" s="19">
        <f>[1]TOBEPAID!T123/1000</f>
        <v>0</v>
      </c>
      <c r="U158" s="19">
        <f>[1]TOBEPAID!U123/1000</f>
        <v>0</v>
      </c>
      <c r="V158" s="19">
        <f>[1]TOBEPAID!V123/1000</f>
        <v>0</v>
      </c>
      <c r="W158" s="19">
        <f>[1]TOBEPAID!W123/1000</f>
        <v>0</v>
      </c>
      <c r="X158" s="19">
        <f>[1]TOBEPAID!X123/1000</f>
        <v>5603.8962599999995</v>
      </c>
      <c r="Y158" s="19">
        <f t="shared" si="29"/>
        <v>5603.8959999999997</v>
      </c>
      <c r="Z158" s="19">
        <f t="shared" si="28"/>
        <v>0</v>
      </c>
      <c r="AA158" s="19">
        <f>[1]TOBEPAID!AA123/1000</f>
        <v>0</v>
      </c>
      <c r="AB158" s="19">
        <f>[1]TOBEPAID!AB123/1000</f>
        <v>0</v>
      </c>
      <c r="AC158" s="19"/>
      <c r="AD158" s="19"/>
      <c r="AE158" s="25" t="s">
        <v>55</v>
      </c>
      <c r="AF158" s="34">
        <f>+D117</f>
        <v>200</v>
      </c>
      <c r="AG158" s="34">
        <f>+E117</f>
        <v>0</v>
      </c>
      <c r="AH158" s="3">
        <f>+F117</f>
        <v>0</v>
      </c>
      <c r="AI158" s="34">
        <f>+AG158+AH158</f>
        <v>0</v>
      </c>
      <c r="AJ158" s="3" t="e">
        <f>L108+L118+L130+L145+L162</f>
        <v>#VALUE!</v>
      </c>
      <c r="AK158" s="34" t="e">
        <f>+AI158+AJ158</f>
        <v>#VALUE!</v>
      </c>
      <c r="AL158" s="34">
        <f>+O117</f>
        <v>0</v>
      </c>
      <c r="AM158" s="34">
        <f>+P117</f>
        <v>0</v>
      </c>
      <c r="AN158" s="34">
        <f>+AL158+AM158</f>
        <v>0</v>
      </c>
      <c r="AO158" s="34">
        <f>+V117</f>
        <v>0</v>
      </c>
      <c r="AP158" s="34">
        <f>+AN158+AO158</f>
        <v>0</v>
      </c>
      <c r="AQ158" s="34">
        <f>+AI158+AN158</f>
        <v>0</v>
      </c>
      <c r="AR158" s="34">
        <f>+AF158-AQ158</f>
        <v>200</v>
      </c>
      <c r="AS158" s="34" t="e">
        <f>+AF159-AK159-AP159</f>
        <v>#VALUE!</v>
      </c>
    </row>
    <row r="159" spans="1:45" x14ac:dyDescent="0.2">
      <c r="A159" s="18"/>
      <c r="D159" s="21" t="s">
        <v>57</v>
      </c>
      <c r="E159" s="21" t="s">
        <v>57</v>
      </c>
      <c r="F159" s="21" t="s">
        <v>57</v>
      </c>
      <c r="G159" s="21"/>
      <c r="H159" s="21" t="s">
        <v>57</v>
      </c>
      <c r="I159" s="21" t="s">
        <v>57</v>
      </c>
      <c r="J159" s="21" t="s">
        <v>57</v>
      </c>
      <c r="K159" s="21" t="s">
        <v>57</v>
      </c>
      <c r="L159" s="21" t="s">
        <v>57</v>
      </c>
      <c r="M159" s="21"/>
      <c r="N159" s="21" t="s">
        <v>57</v>
      </c>
      <c r="O159" s="21" t="s">
        <v>57</v>
      </c>
      <c r="P159" s="21" t="s">
        <v>57</v>
      </c>
      <c r="Q159" s="21"/>
      <c r="R159" s="21" t="s">
        <v>57</v>
      </c>
      <c r="S159" s="21" t="s">
        <v>57</v>
      </c>
      <c r="T159" s="21" t="s">
        <v>57</v>
      </c>
      <c r="U159" s="21" t="s">
        <v>57</v>
      </c>
      <c r="V159" s="21" t="s">
        <v>57</v>
      </c>
      <c r="W159" s="21"/>
      <c r="X159" s="21" t="s">
        <v>57</v>
      </c>
      <c r="Y159" s="21" t="s">
        <v>57</v>
      </c>
      <c r="Z159" s="40" t="s">
        <v>118</v>
      </c>
      <c r="AA159" s="21" t="s">
        <v>57</v>
      </c>
      <c r="AB159" s="40" t="s">
        <v>118</v>
      </c>
      <c r="AC159" s="40"/>
      <c r="AD159" s="40"/>
      <c r="AE159" s="25" t="s">
        <v>119</v>
      </c>
      <c r="AF159" s="34">
        <f>+D113</f>
        <v>25000</v>
      </c>
      <c r="AG159" s="34">
        <f>+E113</f>
        <v>25000</v>
      </c>
      <c r="AH159" s="3">
        <f>+F113</f>
        <v>0</v>
      </c>
      <c r="AI159" s="34">
        <f>+AG159+AH159</f>
        <v>25000</v>
      </c>
      <c r="AJ159" s="3" t="e">
        <f>L109+L119+L131+L157+L163</f>
        <v>#VALUE!</v>
      </c>
      <c r="AK159" s="34" t="e">
        <f>+AI159+AJ159</f>
        <v>#VALUE!</v>
      </c>
      <c r="AL159" s="34">
        <f>+O113</f>
        <v>0</v>
      </c>
      <c r="AM159" s="34">
        <f>+P113</f>
        <v>0</v>
      </c>
      <c r="AN159" s="34">
        <f>+AL159+AM159</f>
        <v>0</v>
      </c>
      <c r="AO159" s="34">
        <f>+V113</f>
        <v>0</v>
      </c>
      <c r="AP159" s="34">
        <f>+AN159+AO159</f>
        <v>0</v>
      </c>
      <c r="AQ159" s="34">
        <f>+AI159+AN159</f>
        <v>25000</v>
      </c>
      <c r="AR159" s="34">
        <f>+AF159-AQ159</f>
        <v>0</v>
      </c>
      <c r="AS159" s="34" t="e">
        <f>+AF160-AK160-AP160</f>
        <v>#VALUE!</v>
      </c>
    </row>
    <row r="160" spans="1:45" x14ac:dyDescent="0.2">
      <c r="A160" s="18"/>
      <c r="D160" s="30">
        <f>SUM(D145:D158)</f>
        <v>260610.33999000004</v>
      </c>
      <c r="E160" s="30">
        <f>SUM(E145:E158)</f>
        <v>55580.987809999999</v>
      </c>
      <c r="F160" s="30">
        <f>SUM(F145:F158)</f>
        <v>4000</v>
      </c>
      <c r="G160" s="30"/>
      <c r="H160" s="30">
        <f>SUM(H145:H158)</f>
        <v>188992.35099000001</v>
      </c>
      <c r="I160" s="30">
        <f>SUM(I145:I158)</f>
        <v>0</v>
      </c>
      <c r="J160" s="30">
        <f>SUM(J145:J158)</f>
        <v>0</v>
      </c>
      <c r="K160" s="30">
        <f>SUM(K145:K158)</f>
        <v>0</v>
      </c>
      <c r="L160" s="30">
        <f>SUM(L145:L158)</f>
        <v>0</v>
      </c>
      <c r="M160" s="30"/>
      <c r="N160" s="30">
        <f>SUM(N145:N158)</f>
        <v>59580.987809999999</v>
      </c>
      <c r="O160" s="30">
        <f>SUM(O145:O158)</f>
        <v>7846.9146399999991</v>
      </c>
      <c r="P160" s="30">
        <f>SUM(P145:P158)</f>
        <v>0</v>
      </c>
      <c r="Q160" s="30"/>
      <c r="R160" s="30">
        <f>SUM(R145:R158)</f>
        <v>7944.134</v>
      </c>
      <c r="S160" s="30">
        <f>SUM(S145:S158)</f>
        <v>0</v>
      </c>
      <c r="T160" s="30">
        <f>SUM(T145:T158)</f>
        <v>0</v>
      </c>
      <c r="U160" s="30">
        <f>SUM(U145:U158)</f>
        <v>0</v>
      </c>
      <c r="V160" s="30">
        <f>SUM(V145:V158)</f>
        <v>0</v>
      </c>
      <c r="W160" s="30"/>
      <c r="X160" s="30">
        <f>SUM(X145:X158)</f>
        <v>7846.9146399999991</v>
      </c>
      <c r="Y160" s="30">
        <f>SUM(Y145:Y158)</f>
        <v>196936.48499</v>
      </c>
      <c r="Z160" s="30">
        <f>SUM(Z145:Z158)</f>
        <v>63673.855000000003</v>
      </c>
      <c r="AA160" s="30">
        <f>SUM(AA145:AA158)</f>
        <v>0</v>
      </c>
      <c r="AB160" s="30">
        <f>SUM(AB145:AB158)</f>
        <v>1063.8956599999999</v>
      </c>
      <c r="AC160" s="30"/>
      <c r="AD160" s="30"/>
      <c r="AE160" s="25" t="s">
        <v>70</v>
      </c>
      <c r="AF160" s="34">
        <f>+D106</f>
        <v>5000</v>
      </c>
      <c r="AG160" s="34">
        <f>+E106</f>
        <v>5000</v>
      </c>
      <c r="AH160" s="3">
        <f>+F106</f>
        <v>0</v>
      </c>
      <c r="AI160" s="34">
        <f>+AG160+AH160</f>
        <v>5000</v>
      </c>
      <c r="AJ160" s="3" t="e">
        <f>L110+L120+L140+L158+L164</f>
        <v>#VALUE!</v>
      </c>
      <c r="AK160" s="34" t="e">
        <f>+AI160+AJ160</f>
        <v>#VALUE!</v>
      </c>
      <c r="AL160" s="34">
        <f>+O106</f>
        <v>0</v>
      </c>
      <c r="AM160" s="34">
        <f>+P106</f>
        <v>0</v>
      </c>
      <c r="AN160" s="34">
        <f>+AL160+AM160</f>
        <v>0</v>
      </c>
      <c r="AO160" s="34">
        <f>+V106</f>
        <v>0</v>
      </c>
      <c r="AP160" s="34">
        <f>+AN160+AO160</f>
        <v>0</v>
      </c>
      <c r="AQ160" s="34">
        <f>+AI160+AN160</f>
        <v>5000</v>
      </c>
      <c r="AR160" s="34">
        <f>+AF160-AQ160</f>
        <v>0</v>
      </c>
      <c r="AS160" s="34" t="e">
        <f>SUM(AS139:AS159)</f>
        <v>#REF!</v>
      </c>
    </row>
    <row r="161" spans="1:45" x14ac:dyDescent="0.2">
      <c r="A161" s="18"/>
      <c r="D161" s="21" t="s">
        <v>57</v>
      </c>
      <c r="E161" s="21" t="s">
        <v>57</v>
      </c>
      <c r="F161" s="21" t="s">
        <v>57</v>
      </c>
      <c r="G161" s="21"/>
      <c r="H161" s="21" t="s">
        <v>57</v>
      </c>
      <c r="I161" s="21" t="s">
        <v>57</v>
      </c>
      <c r="J161" s="21" t="s">
        <v>57</v>
      </c>
      <c r="K161" s="21" t="s">
        <v>57</v>
      </c>
      <c r="L161" s="21" t="s">
        <v>57</v>
      </c>
      <c r="M161" s="21"/>
      <c r="N161" s="21" t="s">
        <v>57</v>
      </c>
      <c r="O161" s="21" t="s">
        <v>57</v>
      </c>
      <c r="P161" s="21" t="s">
        <v>57</v>
      </c>
      <c r="Q161" s="21"/>
      <c r="R161" s="21" t="s">
        <v>57</v>
      </c>
      <c r="S161" s="21" t="s">
        <v>57</v>
      </c>
      <c r="T161" s="21" t="s">
        <v>57</v>
      </c>
      <c r="U161" s="21" t="s">
        <v>57</v>
      </c>
      <c r="V161" s="21" t="s">
        <v>57</v>
      </c>
      <c r="W161" s="21"/>
      <c r="X161" s="21" t="s">
        <v>57</v>
      </c>
      <c r="Y161" s="21" t="s">
        <v>57</v>
      </c>
      <c r="Z161" s="21" t="s">
        <v>57</v>
      </c>
      <c r="AA161" s="21" t="s">
        <v>57</v>
      </c>
      <c r="AB161" s="40" t="s">
        <v>118</v>
      </c>
      <c r="AC161" s="40"/>
      <c r="AD161" s="40"/>
      <c r="AE161" s="25" t="s">
        <v>120</v>
      </c>
      <c r="AF161" s="34">
        <f t="shared" ref="AF161:AR161" si="30">SUM(AF140:AF160)</f>
        <v>279979.96027000004</v>
      </c>
      <c r="AG161" s="34">
        <f t="shared" si="30"/>
        <v>101413.15213999999</v>
      </c>
      <c r="AH161" s="34">
        <f t="shared" si="30"/>
        <v>4000</v>
      </c>
      <c r="AI161" s="34">
        <f t="shared" si="30"/>
        <v>105413.15213999999</v>
      </c>
      <c r="AJ161" s="3" t="e">
        <f t="shared" si="30"/>
        <v>#REF!</v>
      </c>
      <c r="AK161" s="3" t="e">
        <f t="shared" si="30"/>
        <v>#REF!</v>
      </c>
      <c r="AL161" s="34">
        <f t="shared" si="30"/>
        <v>48290.838079999994</v>
      </c>
      <c r="AM161" s="3">
        <f t="shared" si="30"/>
        <v>0</v>
      </c>
      <c r="AN161" s="3">
        <f t="shared" si="30"/>
        <v>48290.838079999994</v>
      </c>
      <c r="AO161" s="3">
        <f t="shared" si="30"/>
        <v>0</v>
      </c>
      <c r="AP161" s="3">
        <f t="shared" si="30"/>
        <v>48290.838079999994</v>
      </c>
      <c r="AQ161" s="3">
        <f t="shared" si="30"/>
        <v>153703.99021999998</v>
      </c>
      <c r="AR161" s="34">
        <f t="shared" si="30"/>
        <v>126275.97004999999</v>
      </c>
    </row>
    <row r="162" spans="1:45" x14ac:dyDescent="0.2">
      <c r="A162" s="18"/>
      <c r="B162" s="41" t="s">
        <v>121</v>
      </c>
      <c r="C162" s="41" t="s">
        <v>122</v>
      </c>
      <c r="D162" s="30">
        <f>D108+D119+D128+D142+D160</f>
        <v>512643.02825999999</v>
      </c>
      <c r="E162" s="30">
        <f>E108+E119+E128+E142+E160</f>
        <v>101413.15213999999</v>
      </c>
      <c r="F162" s="30">
        <f>F108+F119+F128+F142+F160</f>
        <v>4000</v>
      </c>
      <c r="G162" s="30"/>
      <c r="H162" s="30">
        <f>H108+H119+H128+H142+H160</f>
        <v>399362.03599</v>
      </c>
      <c r="I162" s="30">
        <f>I108+I119+I128+I142+I160</f>
        <v>0</v>
      </c>
      <c r="J162" s="30">
        <f>J108+J119+J128+J142+J160</f>
        <v>0</v>
      </c>
      <c r="K162" s="30">
        <f>K108+K119+K128+K142+K160</f>
        <v>0</v>
      </c>
      <c r="L162" s="30">
        <f>L108+L119+L128+L142+L160</f>
        <v>0</v>
      </c>
      <c r="M162" s="30"/>
      <c r="N162" s="30">
        <f>N108+N119+N128+N142+N160</f>
        <v>105413.15213999999</v>
      </c>
      <c r="O162" s="30">
        <f>O108+O119+O128+O142+O160</f>
        <v>48290.838080000001</v>
      </c>
      <c r="P162" s="30">
        <f>P108+P119+P128+P142+P160</f>
        <v>0</v>
      </c>
      <c r="Q162" s="30"/>
      <c r="R162" s="30">
        <f>R108+R119+R128+R142+R160</f>
        <v>48388.053000000007</v>
      </c>
      <c r="S162" s="30">
        <f>S108+S119+S128+S142+S160</f>
        <v>0</v>
      </c>
      <c r="T162" s="30">
        <f>T108+T119+T128+T142+T160</f>
        <v>0</v>
      </c>
      <c r="U162" s="30">
        <f>U108+U119+U128+U142+U160</f>
        <v>0</v>
      </c>
      <c r="V162" s="30">
        <f>V108+V119+V128+V142+V160</f>
        <v>0</v>
      </c>
      <c r="W162" s="30"/>
      <c r="X162" s="30">
        <f>X108+X119+X128+X142+X160</f>
        <v>48290.838080000001</v>
      </c>
      <c r="Y162" s="30">
        <f>Y108+Y119+Y128+Y142+Y160</f>
        <v>447750.08899000002</v>
      </c>
      <c r="Z162" s="30">
        <f>Z108+Z119+Z128+Z142+Z160</f>
        <v>64892.939269999995</v>
      </c>
      <c r="AA162" s="30">
        <f>AA108+AA119+AA128+AA142+AA160</f>
        <v>86276.087770000013</v>
      </c>
      <c r="AB162" s="30">
        <f>AB108+AB119+AB128+AB142+AB160</f>
        <v>13895.97739</v>
      </c>
      <c r="AC162" s="30"/>
      <c r="AD162" s="30"/>
      <c r="AS162" s="34"/>
    </row>
    <row r="163" spans="1:45" x14ac:dyDescent="0.2">
      <c r="A163" s="18"/>
      <c r="D163" s="21" t="s">
        <v>93</v>
      </c>
      <c r="E163" s="21" t="s">
        <v>93</v>
      </c>
      <c r="F163" s="21" t="s">
        <v>93</v>
      </c>
      <c r="G163" s="21"/>
      <c r="H163" s="21" t="s">
        <v>93</v>
      </c>
      <c r="I163" s="21" t="s">
        <v>93</v>
      </c>
      <c r="J163" s="21" t="s">
        <v>93</v>
      </c>
      <c r="K163" s="21" t="s">
        <v>93</v>
      </c>
      <c r="L163" s="21" t="s">
        <v>93</v>
      </c>
      <c r="M163" s="21"/>
      <c r="N163" s="21" t="s">
        <v>93</v>
      </c>
      <c r="O163" s="21" t="s">
        <v>93</v>
      </c>
      <c r="P163" s="21" t="s">
        <v>93</v>
      </c>
      <c r="Q163" s="21"/>
      <c r="R163" s="21" t="s">
        <v>93</v>
      </c>
      <c r="S163" s="21" t="s">
        <v>93</v>
      </c>
      <c r="T163" s="21" t="s">
        <v>93</v>
      </c>
      <c r="U163" s="21" t="s">
        <v>93</v>
      </c>
      <c r="V163" s="21" t="s">
        <v>93</v>
      </c>
      <c r="W163" s="21"/>
      <c r="X163" s="21" t="s">
        <v>93</v>
      </c>
      <c r="Y163" s="21" t="s">
        <v>93</v>
      </c>
      <c r="Z163" s="21" t="s">
        <v>93</v>
      </c>
      <c r="AA163" s="21" t="s">
        <v>93</v>
      </c>
      <c r="AB163" s="21" t="s">
        <v>93</v>
      </c>
      <c r="AC163" s="21"/>
      <c r="AD163" s="21"/>
      <c r="AR163" s="34"/>
    </row>
    <row r="164" spans="1:45" ht="15.75" thickBot="1" x14ac:dyDescent="0.25">
      <c r="A164" s="18"/>
      <c r="C164" s="25"/>
      <c r="D164" s="30"/>
      <c r="E164" s="30"/>
      <c r="F164" s="42"/>
      <c r="G164" s="28"/>
      <c r="H164" s="27"/>
      <c r="I164" s="28"/>
      <c r="J164" s="28"/>
      <c r="K164" s="28"/>
      <c r="L164" s="27"/>
      <c r="M164" s="28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7" t="s">
        <v>123</v>
      </c>
      <c r="Z164" s="37"/>
      <c r="AA164" s="30"/>
      <c r="AB164" s="30"/>
      <c r="AC164" s="30"/>
      <c r="AD164" s="30"/>
    </row>
    <row r="165" spans="1:45" ht="15.75" thickTop="1" x14ac:dyDescent="0.2">
      <c r="A165" s="18"/>
      <c r="B165" s="3" t="s">
        <v>124</v>
      </c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</row>
    <row r="166" spans="1:45" x14ac:dyDescent="0.2">
      <c r="A166" s="18"/>
      <c r="B166" s="17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</row>
    <row r="167" spans="1:45" x14ac:dyDescent="0.2">
      <c r="A167" s="18">
        <v>12</v>
      </c>
      <c r="B167" s="17" t="s">
        <v>125</v>
      </c>
      <c r="C167" s="17" t="s">
        <v>51</v>
      </c>
      <c r="D167" s="19">
        <f>70417568.7/1000</f>
        <v>70417.568700000003</v>
      </c>
      <c r="E167" s="19">
        <f>[1]TOBEPAID!E132/1000</f>
        <v>0</v>
      </c>
      <c r="F167" s="19">
        <f>[1]TOBEPAID!F132/1000</f>
        <v>0</v>
      </c>
      <c r="G167" s="19">
        <f>[1]TOBEPAID!G132/1000</f>
        <v>0</v>
      </c>
      <c r="H167" s="19">
        <f>70388013/1000</f>
        <v>70388.013000000006</v>
      </c>
      <c r="I167" s="19">
        <f>[1]TOBEPAID!I132/1000</f>
        <v>0</v>
      </c>
      <c r="J167" s="19">
        <f>[1]TOBEPAID!J132/1000</f>
        <v>0</v>
      </c>
      <c r="K167" s="19">
        <f>[1]TOBEPAID!K132/1000</f>
        <v>0</v>
      </c>
      <c r="L167" s="19">
        <f>[1]TOBEPAID!L132/1000</f>
        <v>0</v>
      </c>
      <c r="M167" s="19">
        <f>[1]TOBEPAID!M132/1000</f>
        <v>0</v>
      </c>
      <c r="N167" s="19">
        <f>[1]TOBEPAID!N132/1000</f>
        <v>0</v>
      </c>
      <c r="O167" s="19">
        <f>[1]TOBEPAID!O132/1000</f>
        <v>0</v>
      </c>
      <c r="P167" s="19">
        <f>[1]TOBEPAID!P132/1000</f>
        <v>0</v>
      </c>
      <c r="Q167" s="19">
        <f>[1]TOBEPAID!Q132/1000</f>
        <v>0</v>
      </c>
      <c r="R167" s="19">
        <v>0</v>
      </c>
      <c r="S167" s="19">
        <f>[1]TOBEPAID!S132/1000</f>
        <v>0</v>
      </c>
      <c r="T167" s="19">
        <f>[1]TOBEPAID!T132/1000</f>
        <v>0</v>
      </c>
      <c r="U167" s="19">
        <f>[1]TOBEPAID!U132/1000</f>
        <v>0</v>
      </c>
      <c r="V167" s="19">
        <f>[1]TOBEPAID!V132/1000</f>
        <v>0</v>
      </c>
      <c r="W167" s="19">
        <f>[1]TOBEPAID!W132/1000</f>
        <v>0</v>
      </c>
      <c r="X167" s="19">
        <f>[1]TOBEPAID!X132/1000</f>
        <v>0</v>
      </c>
      <c r="Y167" s="19">
        <f>+H167+R167</f>
        <v>70388.013000000006</v>
      </c>
      <c r="Z167" s="19">
        <f t="shared" ref="Z167:Z179" si="31">+D167-Y167</f>
        <v>29.555699999997159</v>
      </c>
      <c r="AA167" s="19">
        <f>[1]TOBEPAID!AA132/1000</f>
        <v>0</v>
      </c>
      <c r="AB167" s="19">
        <f>[1]TOBEPAID!AB132/1000</f>
        <v>59793.042420000005</v>
      </c>
      <c r="AC167" s="19"/>
      <c r="AD167" s="19"/>
    </row>
    <row r="168" spans="1:45" x14ac:dyDescent="0.2">
      <c r="A168" s="18"/>
      <c r="B168" s="17"/>
      <c r="C168" s="17" t="s">
        <v>126</v>
      </c>
      <c r="D168" s="19">
        <f>209890000/1000</f>
        <v>209890</v>
      </c>
      <c r="E168" s="19"/>
      <c r="F168" s="19"/>
      <c r="G168" s="19"/>
      <c r="H168" s="7">
        <v>0</v>
      </c>
      <c r="I168" s="7"/>
      <c r="J168" s="7"/>
      <c r="K168" s="7"/>
      <c r="L168" s="7"/>
      <c r="M168" s="7"/>
      <c r="N168" s="7"/>
      <c r="O168" s="7"/>
      <c r="P168" s="7"/>
      <c r="Q168" s="7"/>
      <c r="R168" s="7">
        <v>0</v>
      </c>
      <c r="S168" s="7"/>
      <c r="T168" s="7"/>
      <c r="U168" s="7"/>
      <c r="V168" s="7"/>
      <c r="W168" s="7"/>
      <c r="X168" s="7"/>
      <c r="Y168" s="7">
        <f>+H168+R168</f>
        <v>0</v>
      </c>
      <c r="Z168" s="7">
        <f>+D168-Y168</f>
        <v>209890</v>
      </c>
      <c r="AA168" s="19"/>
      <c r="AB168" s="19"/>
      <c r="AC168" s="19"/>
      <c r="AD168" s="19"/>
    </row>
    <row r="169" spans="1:45" x14ac:dyDescent="0.2">
      <c r="A169" s="18"/>
      <c r="B169" s="17"/>
      <c r="C169" s="17" t="s">
        <v>127</v>
      </c>
      <c r="D169" s="19">
        <f>10000000/1000</f>
        <v>10000</v>
      </c>
      <c r="E169" s="19"/>
      <c r="F169" s="19"/>
      <c r="G169" s="19"/>
      <c r="H169" s="19">
        <f>10000000/1000</f>
        <v>10000</v>
      </c>
      <c r="I169" s="19"/>
      <c r="J169" s="19"/>
      <c r="K169" s="19"/>
      <c r="L169" s="19"/>
      <c r="M169" s="19"/>
      <c r="N169" s="19"/>
      <c r="O169" s="19"/>
      <c r="P169" s="19"/>
      <c r="Q169" s="19"/>
      <c r="R169" s="19">
        <v>0</v>
      </c>
      <c r="S169" s="19"/>
      <c r="T169" s="19"/>
      <c r="U169" s="19"/>
      <c r="V169" s="19"/>
      <c r="W169" s="19"/>
      <c r="X169" s="19"/>
      <c r="Y169" s="19">
        <f>+H169+R169</f>
        <v>10000</v>
      </c>
      <c r="Z169" s="19">
        <f t="shared" si="31"/>
        <v>0</v>
      </c>
      <c r="AA169" s="19"/>
      <c r="AB169" s="19"/>
      <c r="AC169" s="19"/>
      <c r="AD169" s="19"/>
    </row>
    <row r="170" spans="1:45" x14ac:dyDescent="0.2">
      <c r="A170" s="18"/>
      <c r="B170" s="17"/>
      <c r="C170" s="17" t="s">
        <v>66</v>
      </c>
      <c r="D170" s="19">
        <f>50000000/1000</f>
        <v>50000</v>
      </c>
      <c r="E170" s="19"/>
      <c r="F170" s="19"/>
      <c r="G170" s="19"/>
      <c r="H170" s="19">
        <f>50000000/1000</f>
        <v>50000</v>
      </c>
      <c r="I170" s="19"/>
      <c r="J170" s="19"/>
      <c r="K170" s="19"/>
      <c r="L170" s="19"/>
      <c r="M170" s="19"/>
      <c r="N170" s="19"/>
      <c r="O170" s="19"/>
      <c r="P170" s="19"/>
      <c r="Q170" s="19"/>
      <c r="R170" s="19">
        <v>0</v>
      </c>
      <c r="S170" s="19"/>
      <c r="T170" s="19"/>
      <c r="U170" s="19"/>
      <c r="V170" s="19"/>
      <c r="W170" s="19"/>
      <c r="X170" s="19"/>
      <c r="Y170" s="19">
        <f>+H170+R170</f>
        <v>50000</v>
      </c>
      <c r="Z170" s="19">
        <f>+D170-Y170</f>
        <v>0</v>
      </c>
      <c r="AA170" s="19"/>
      <c r="AB170" s="19"/>
      <c r="AC170" s="19"/>
      <c r="AD170" s="19"/>
    </row>
    <row r="171" spans="1:45" x14ac:dyDescent="0.2">
      <c r="A171" s="18"/>
      <c r="B171" s="43"/>
      <c r="C171" s="3" t="s">
        <v>52</v>
      </c>
      <c r="D171" s="19">
        <f>1838599/1000</f>
        <v>1838.5989999999999</v>
      </c>
      <c r="E171" s="19">
        <f>[1]TOBEPAID!E133/1000</f>
        <v>1838.5989999999999</v>
      </c>
      <c r="F171" s="19">
        <f>[1]TOBEPAID!F133/1000</f>
        <v>0</v>
      </c>
      <c r="G171" s="19">
        <f>[1]TOBEPAID!G133/1000</f>
        <v>0</v>
      </c>
      <c r="H171" s="19">
        <f>1838599/1000</f>
        <v>1838.5989999999999</v>
      </c>
      <c r="I171" s="19">
        <f>[1]TOBEPAID!I133/1000</f>
        <v>0</v>
      </c>
      <c r="J171" s="19">
        <f>[1]TOBEPAID!J133/1000</f>
        <v>0</v>
      </c>
      <c r="K171" s="19">
        <f>[1]TOBEPAID!K133/1000</f>
        <v>0</v>
      </c>
      <c r="L171" s="19">
        <f>[1]TOBEPAID!L133/1000</f>
        <v>0</v>
      </c>
      <c r="M171" s="19">
        <f>[1]TOBEPAID!M133/1000</f>
        <v>0</v>
      </c>
      <c r="N171" s="19">
        <f>[1]TOBEPAID!N133/1000</f>
        <v>1838.5989999999999</v>
      </c>
      <c r="O171" s="19">
        <f>[1]TOBEPAID!O133/1000</f>
        <v>0</v>
      </c>
      <c r="P171" s="19">
        <f>[1]TOBEPAID!P133/1000</f>
        <v>0</v>
      </c>
      <c r="Q171" s="19">
        <f>[1]TOBEPAID!Q133/1000</f>
        <v>0</v>
      </c>
      <c r="R171" s="19">
        <v>0</v>
      </c>
      <c r="S171" s="19">
        <f>[1]TOBEPAID!S133/1000</f>
        <v>0</v>
      </c>
      <c r="T171" s="19">
        <f>[1]TOBEPAID!T133/1000</f>
        <v>0</v>
      </c>
      <c r="U171" s="19">
        <f>[1]TOBEPAID!U133/1000</f>
        <v>0</v>
      </c>
      <c r="V171" s="19">
        <f>[1]TOBEPAID!V133/1000</f>
        <v>0</v>
      </c>
      <c r="W171" s="19">
        <f>[1]TOBEPAID!W133/1000</f>
        <v>0</v>
      </c>
      <c r="X171" s="19">
        <f>[1]TOBEPAID!X133/1000</f>
        <v>0</v>
      </c>
      <c r="Y171" s="19">
        <f t="shared" ref="Y171:Y179" si="32">+H171+R171</f>
        <v>1838.5989999999999</v>
      </c>
      <c r="Z171" s="19">
        <f t="shared" si="31"/>
        <v>0</v>
      </c>
      <c r="AA171" s="19">
        <f>[1]TOBEPAID!AA133/1000</f>
        <v>0</v>
      </c>
      <c r="AB171" s="19">
        <f>[1]TOBEPAID!AB133/1000</f>
        <v>0</v>
      </c>
      <c r="AC171" s="19"/>
      <c r="AD171" s="19"/>
    </row>
    <row r="172" spans="1:45" x14ac:dyDescent="0.2">
      <c r="C172" s="3" t="s">
        <v>78</v>
      </c>
      <c r="D172" s="19">
        <f>5389000/1000</f>
        <v>5389</v>
      </c>
      <c r="E172" s="19">
        <f>[1]TOBEPAID!E134/1000</f>
        <v>5389</v>
      </c>
      <c r="F172" s="19">
        <f>[1]TOBEPAID!F134/1000</f>
        <v>0</v>
      </c>
      <c r="G172" s="19">
        <f>[1]TOBEPAID!G134/1000</f>
        <v>0</v>
      </c>
      <c r="H172" s="19">
        <f>5389000/1000</f>
        <v>5389</v>
      </c>
      <c r="I172" s="19">
        <f>[1]TOBEPAID!I134/1000</f>
        <v>0</v>
      </c>
      <c r="J172" s="19">
        <f>[1]TOBEPAID!J134/1000</f>
        <v>0</v>
      </c>
      <c r="K172" s="19">
        <f>[1]TOBEPAID!K134/1000</f>
        <v>0</v>
      </c>
      <c r="L172" s="19">
        <f>[1]TOBEPAID!L134/1000</f>
        <v>0</v>
      </c>
      <c r="M172" s="19">
        <f>[1]TOBEPAID!M134/1000</f>
        <v>0</v>
      </c>
      <c r="N172" s="19">
        <f>[1]TOBEPAID!N134/1000</f>
        <v>5389</v>
      </c>
      <c r="O172" s="19">
        <f>[1]TOBEPAID!O134/1000</f>
        <v>0</v>
      </c>
      <c r="P172" s="19">
        <f>[1]TOBEPAID!P134/1000</f>
        <v>0</v>
      </c>
      <c r="Q172" s="19">
        <f>[1]TOBEPAID!Q134/1000</f>
        <v>0</v>
      </c>
      <c r="R172" s="19">
        <v>0</v>
      </c>
      <c r="S172" s="19">
        <f>[1]TOBEPAID!S134/1000</f>
        <v>0</v>
      </c>
      <c r="T172" s="19">
        <f>[1]TOBEPAID!T134/1000</f>
        <v>0</v>
      </c>
      <c r="U172" s="19">
        <f>[1]TOBEPAID!U134/1000</f>
        <v>0</v>
      </c>
      <c r="V172" s="19">
        <f>[1]TOBEPAID!V134/1000</f>
        <v>0</v>
      </c>
      <c r="W172" s="19">
        <f>[1]TOBEPAID!W134/1000</f>
        <v>0</v>
      </c>
      <c r="X172" s="19">
        <f>[1]TOBEPAID!X134/1000</f>
        <v>0</v>
      </c>
      <c r="Y172" s="19">
        <f t="shared" si="32"/>
        <v>5389</v>
      </c>
      <c r="Z172" s="19">
        <f t="shared" si="31"/>
        <v>0</v>
      </c>
      <c r="AA172" s="19">
        <f>[1]TOBEPAID!AA134/1000</f>
        <v>0</v>
      </c>
      <c r="AB172" s="19">
        <f>[1]TOBEPAID!AB134/1000</f>
        <v>0</v>
      </c>
      <c r="AC172" s="19"/>
      <c r="AD172" s="19"/>
    </row>
    <row r="173" spans="1:45" x14ac:dyDescent="0.2">
      <c r="C173" s="3" t="s">
        <v>67</v>
      </c>
      <c r="D173" s="19">
        <f>540000000/1000</f>
        <v>540000</v>
      </c>
      <c r="E173" s="19">
        <f>[1]TOBEPAID!E135/1000</f>
        <v>150000</v>
      </c>
      <c r="F173" s="19">
        <f>[1]TOBEPAID!F135/1000</f>
        <v>30000</v>
      </c>
      <c r="G173" s="19">
        <f>[1]TOBEPAID!G135/1000</f>
        <v>0</v>
      </c>
      <c r="H173" s="19">
        <f>540000000/1000</f>
        <v>540000</v>
      </c>
      <c r="I173" s="19">
        <f>[1]TOBEPAID!I135/1000</f>
        <v>0</v>
      </c>
      <c r="J173" s="19">
        <f>[1]TOBEPAID!J135/1000</f>
        <v>0</v>
      </c>
      <c r="K173" s="19">
        <f>[1]TOBEPAID!K135/1000</f>
        <v>0</v>
      </c>
      <c r="L173" s="19">
        <f>[1]TOBEPAID!L135/1000</f>
        <v>0</v>
      </c>
      <c r="M173" s="19">
        <f>[1]TOBEPAID!M135/1000</f>
        <v>0</v>
      </c>
      <c r="N173" s="19">
        <f>[1]TOBEPAID!N135/1000</f>
        <v>180000</v>
      </c>
      <c r="O173" s="19">
        <f>[1]TOBEPAID!O135/1000</f>
        <v>0</v>
      </c>
      <c r="P173" s="19">
        <f>[1]TOBEPAID!P135/1000</f>
        <v>0</v>
      </c>
      <c r="Q173" s="19">
        <f>[1]TOBEPAID!Q135/1000</f>
        <v>0</v>
      </c>
      <c r="R173" s="19">
        <v>0</v>
      </c>
      <c r="S173" s="19">
        <f>[1]TOBEPAID!S135/1000</f>
        <v>0</v>
      </c>
      <c r="T173" s="19">
        <f>[1]TOBEPAID!T135/1000</f>
        <v>0</v>
      </c>
      <c r="U173" s="19">
        <f>[1]TOBEPAID!U135/1000</f>
        <v>0</v>
      </c>
      <c r="V173" s="19">
        <f>[1]TOBEPAID!V135/1000</f>
        <v>0</v>
      </c>
      <c r="W173" s="19">
        <f>[1]TOBEPAID!W135/1000</f>
        <v>0</v>
      </c>
      <c r="X173" s="19">
        <f>[1]TOBEPAID!X135/1000</f>
        <v>0</v>
      </c>
      <c r="Y173" s="19">
        <f t="shared" si="32"/>
        <v>540000</v>
      </c>
      <c r="Z173" s="19">
        <f t="shared" si="31"/>
        <v>0</v>
      </c>
      <c r="AA173" s="19">
        <f>[1]TOBEPAID!AA135/1000</f>
        <v>0</v>
      </c>
      <c r="AB173" s="19">
        <f>[1]TOBEPAID!AB135/1000</f>
        <v>0</v>
      </c>
      <c r="AC173" s="19"/>
      <c r="AD173" s="19"/>
    </row>
    <row r="174" spans="1:45" x14ac:dyDescent="0.2">
      <c r="C174" s="3" t="s">
        <v>77</v>
      </c>
      <c r="D174" s="19">
        <f>11500000/1000</f>
        <v>11500</v>
      </c>
      <c r="E174" s="19"/>
      <c r="F174" s="19"/>
      <c r="G174" s="19"/>
      <c r="H174" s="19">
        <f>11500000/1000</f>
        <v>11500</v>
      </c>
      <c r="I174" s="19"/>
      <c r="J174" s="19"/>
      <c r="K174" s="19"/>
      <c r="L174" s="19"/>
      <c r="M174" s="19"/>
      <c r="N174" s="19"/>
      <c r="O174" s="19"/>
      <c r="P174" s="19"/>
      <c r="Q174" s="19"/>
      <c r="R174" s="19">
        <v>0</v>
      </c>
      <c r="S174" s="19"/>
      <c r="T174" s="19"/>
      <c r="U174" s="19"/>
      <c r="V174" s="19"/>
      <c r="W174" s="19"/>
      <c r="X174" s="19"/>
      <c r="Y174" s="19">
        <f t="shared" si="32"/>
        <v>11500</v>
      </c>
      <c r="Z174" s="19">
        <f t="shared" si="31"/>
        <v>0</v>
      </c>
      <c r="AA174" s="19"/>
      <c r="AB174" s="19"/>
      <c r="AC174" s="19"/>
      <c r="AD174" s="19"/>
    </row>
    <row r="175" spans="1:45" x14ac:dyDescent="0.2">
      <c r="C175" s="3" t="s">
        <v>128</v>
      </c>
      <c r="D175" s="19">
        <f>1456000000/1000</f>
        <v>1456000</v>
      </c>
      <c r="E175" s="19"/>
      <c r="F175" s="19"/>
      <c r="G175" s="19"/>
      <c r="H175" s="19">
        <f>1456000000/1000</f>
        <v>1456000</v>
      </c>
      <c r="I175" s="19"/>
      <c r="J175" s="19"/>
      <c r="K175" s="19"/>
      <c r="L175" s="19"/>
      <c r="M175" s="19"/>
      <c r="N175" s="19"/>
      <c r="O175" s="19"/>
      <c r="P175" s="19"/>
      <c r="Q175" s="19"/>
      <c r="R175" s="19">
        <v>0</v>
      </c>
      <c r="S175" s="19"/>
      <c r="T175" s="19"/>
      <c r="U175" s="19"/>
      <c r="V175" s="19"/>
      <c r="W175" s="19"/>
      <c r="X175" s="19"/>
      <c r="Y175" s="19">
        <f t="shared" si="32"/>
        <v>1456000</v>
      </c>
      <c r="Z175" s="19">
        <f t="shared" si="31"/>
        <v>0</v>
      </c>
      <c r="AA175" s="19"/>
      <c r="AB175" s="19"/>
      <c r="AC175" s="19"/>
      <c r="AD175" s="19"/>
    </row>
    <row r="176" spans="1:45" x14ac:dyDescent="0.2">
      <c r="C176" s="3" t="s">
        <v>129</v>
      </c>
      <c r="D176" s="19">
        <f>11588386/1000</f>
        <v>11588.386</v>
      </c>
      <c r="E176" s="19"/>
      <c r="F176" s="19"/>
      <c r="G176" s="19"/>
      <c r="H176" s="19">
        <f>11588386/1000</f>
        <v>11588.386</v>
      </c>
      <c r="I176" s="19"/>
      <c r="J176" s="19"/>
      <c r="K176" s="19"/>
      <c r="L176" s="19"/>
      <c r="M176" s="19"/>
      <c r="N176" s="19"/>
      <c r="O176" s="19"/>
      <c r="P176" s="19"/>
      <c r="Q176" s="19"/>
      <c r="R176" s="19">
        <v>0</v>
      </c>
      <c r="S176" s="19"/>
      <c r="T176" s="19"/>
      <c r="U176" s="19"/>
      <c r="V176" s="19"/>
      <c r="W176" s="19"/>
      <c r="X176" s="19"/>
      <c r="Y176" s="19">
        <f t="shared" si="32"/>
        <v>11588.386</v>
      </c>
      <c r="Z176" s="19">
        <f t="shared" si="31"/>
        <v>0</v>
      </c>
      <c r="AA176" s="19"/>
      <c r="AB176" s="19"/>
      <c r="AC176" s="19"/>
      <c r="AD176" s="19"/>
    </row>
    <row r="177" spans="1:30" x14ac:dyDescent="0.2">
      <c r="A177" s="18"/>
      <c r="B177" s="43"/>
      <c r="C177" s="3" t="s">
        <v>96</v>
      </c>
      <c r="D177" s="19">
        <f>19255035/1000</f>
        <v>19255.035</v>
      </c>
      <c r="E177" s="19">
        <f>[1]TOBEPAID!E136/1000</f>
        <v>0</v>
      </c>
      <c r="F177" s="19">
        <f>[1]TOBEPAID!F136/1000</f>
        <v>0</v>
      </c>
      <c r="G177" s="19">
        <f>[1]TOBEPAID!G136/1000</f>
        <v>0</v>
      </c>
      <c r="H177" s="19">
        <v>0</v>
      </c>
      <c r="I177" s="19">
        <f>[1]TOBEPAID!I136/1000</f>
        <v>0</v>
      </c>
      <c r="J177" s="19">
        <f>[1]TOBEPAID!J136/1000</f>
        <v>0</v>
      </c>
      <c r="K177" s="19">
        <f>[1]TOBEPAID!K136/1000</f>
        <v>0</v>
      </c>
      <c r="L177" s="19">
        <f>[1]TOBEPAID!L136/1000</f>
        <v>0</v>
      </c>
      <c r="M177" s="19">
        <f>[1]TOBEPAID!M136/1000</f>
        <v>0</v>
      </c>
      <c r="N177" s="19">
        <f>[1]TOBEPAID!N136/1000</f>
        <v>0</v>
      </c>
      <c r="O177" s="19">
        <f>[1]TOBEPAID!O136/1000</f>
        <v>19255.03587</v>
      </c>
      <c r="P177" s="19">
        <f>[1]TOBEPAID!P136/1000</f>
        <v>0</v>
      </c>
      <c r="Q177" s="19">
        <f>[1]TOBEPAID!Q136/1000</f>
        <v>0</v>
      </c>
      <c r="R177" s="19">
        <f>19255035/1000</f>
        <v>19255.035</v>
      </c>
      <c r="S177" s="19">
        <f>[1]TOBEPAID!S136/1000</f>
        <v>0</v>
      </c>
      <c r="T177" s="19">
        <f>[1]TOBEPAID!T136/1000</f>
        <v>0</v>
      </c>
      <c r="U177" s="19">
        <f>[1]TOBEPAID!U136/1000</f>
        <v>0</v>
      </c>
      <c r="V177" s="19">
        <f>[1]TOBEPAID!V136/1000</f>
        <v>0</v>
      </c>
      <c r="W177" s="19">
        <f>[1]TOBEPAID!W136/1000</f>
        <v>0</v>
      </c>
      <c r="X177" s="19">
        <f>[1]TOBEPAID!X136/1000</f>
        <v>19255.03587</v>
      </c>
      <c r="Y177" s="19">
        <f t="shared" si="32"/>
        <v>19255.035</v>
      </c>
      <c r="Z177" s="19">
        <f t="shared" si="31"/>
        <v>0</v>
      </c>
      <c r="AA177" s="19">
        <f>[1]TOBEPAID!AA136/1000</f>
        <v>0</v>
      </c>
      <c r="AB177" s="19">
        <f>[1]TOBEPAID!AB136/1000</f>
        <v>0</v>
      </c>
      <c r="AC177" s="19"/>
      <c r="AD177" s="19"/>
    </row>
    <row r="178" spans="1:30" x14ac:dyDescent="0.2">
      <c r="A178" s="18"/>
      <c r="B178" s="43"/>
      <c r="C178" s="3" t="s">
        <v>55</v>
      </c>
      <c r="D178" s="19">
        <v>0</v>
      </c>
      <c r="E178" s="19">
        <f>[1]TOBEPAID!E137/1000</f>
        <v>0</v>
      </c>
      <c r="F178" s="19">
        <f>[1]TOBEPAID!F137/1000</f>
        <v>0</v>
      </c>
      <c r="G178" s="19">
        <f>[1]TOBEPAID!G137/1000</f>
        <v>0</v>
      </c>
      <c r="H178" s="19">
        <v>0</v>
      </c>
      <c r="I178" s="19">
        <f>[1]TOBEPAID!I137/1000</f>
        <v>0</v>
      </c>
      <c r="J178" s="19">
        <f>[1]TOBEPAID!J137/1000</f>
        <v>0</v>
      </c>
      <c r="K178" s="19">
        <f>[1]TOBEPAID!K137/1000</f>
        <v>0</v>
      </c>
      <c r="L178" s="19">
        <f>[1]TOBEPAID!L137/1000</f>
        <v>0</v>
      </c>
      <c r="M178" s="19">
        <f>[1]TOBEPAID!M137/1000</f>
        <v>0</v>
      </c>
      <c r="N178" s="19">
        <f>[1]TOBEPAID!N137/1000</f>
        <v>0</v>
      </c>
      <c r="O178" s="19">
        <f>[1]TOBEPAID!O137/1000</f>
        <v>0</v>
      </c>
      <c r="P178" s="19">
        <f>[1]TOBEPAID!P137/1000</f>
        <v>0</v>
      </c>
      <c r="Q178" s="19">
        <f>[1]TOBEPAID!Q137/1000</f>
        <v>0</v>
      </c>
      <c r="R178" s="19">
        <v>0</v>
      </c>
      <c r="S178" s="19">
        <f>[1]TOBEPAID!S137/1000</f>
        <v>0</v>
      </c>
      <c r="T178" s="19">
        <f>[1]TOBEPAID!T137/1000</f>
        <v>0</v>
      </c>
      <c r="U178" s="19">
        <f>[1]TOBEPAID!U137/1000</f>
        <v>0</v>
      </c>
      <c r="V178" s="19">
        <f>[1]TOBEPAID!V137/1000</f>
        <v>0</v>
      </c>
      <c r="W178" s="19">
        <f>[1]TOBEPAID!W137/1000</f>
        <v>0</v>
      </c>
      <c r="X178" s="19">
        <f>[1]TOBEPAID!X137/1000</f>
        <v>0</v>
      </c>
      <c r="Y178" s="19">
        <f t="shared" si="32"/>
        <v>0</v>
      </c>
      <c r="Z178" s="19">
        <f t="shared" si="31"/>
        <v>0</v>
      </c>
      <c r="AA178" s="19">
        <f>[1]TOBEPAID!AA137/1000</f>
        <v>0</v>
      </c>
      <c r="AB178" s="19">
        <f>[1]TOBEPAID!AB137/1000</f>
        <v>7373</v>
      </c>
      <c r="AC178" s="19"/>
      <c r="AD178" s="19"/>
    </row>
    <row r="179" spans="1:30" x14ac:dyDescent="0.2">
      <c r="A179" s="18"/>
      <c r="B179" s="43"/>
      <c r="C179" s="3" t="s">
        <v>97</v>
      </c>
      <c r="D179" s="19">
        <v>0</v>
      </c>
      <c r="E179" s="19">
        <f>[1]TOBEPAID!E138/1000</f>
        <v>0</v>
      </c>
      <c r="F179" s="19">
        <f>[1]TOBEPAID!F138/1000</f>
        <v>0</v>
      </c>
      <c r="G179" s="19">
        <f>[1]TOBEPAID!G138/1000</f>
        <v>0</v>
      </c>
      <c r="H179" s="19">
        <v>0</v>
      </c>
      <c r="I179" s="19">
        <f>[1]TOBEPAID!I138/1000</f>
        <v>0</v>
      </c>
      <c r="J179" s="19">
        <f>[1]TOBEPAID!J138/1000</f>
        <v>0</v>
      </c>
      <c r="K179" s="19">
        <f>[1]TOBEPAID!K138/1000</f>
        <v>0</v>
      </c>
      <c r="L179" s="19">
        <f>[1]TOBEPAID!L138/1000</f>
        <v>0</v>
      </c>
      <c r="M179" s="19">
        <f>[1]TOBEPAID!M138/1000</f>
        <v>0</v>
      </c>
      <c r="N179" s="19">
        <f>[1]TOBEPAID!N138/1000</f>
        <v>0</v>
      </c>
      <c r="O179" s="19">
        <f>[1]TOBEPAID!O138/1000</f>
        <v>0</v>
      </c>
      <c r="P179" s="19">
        <f>[1]TOBEPAID!P138/1000</f>
        <v>0</v>
      </c>
      <c r="Q179" s="19">
        <f>[1]TOBEPAID!Q138/1000</f>
        <v>0</v>
      </c>
      <c r="R179" s="19">
        <v>0</v>
      </c>
      <c r="S179" s="19">
        <f>[1]TOBEPAID!S138/1000</f>
        <v>0</v>
      </c>
      <c r="T179" s="19">
        <f>[1]TOBEPAID!T138/1000</f>
        <v>0</v>
      </c>
      <c r="U179" s="19">
        <f>[1]TOBEPAID!U138/1000</f>
        <v>0</v>
      </c>
      <c r="V179" s="19">
        <f>[1]TOBEPAID!V138/1000</f>
        <v>0</v>
      </c>
      <c r="W179" s="19">
        <f>[1]TOBEPAID!W138/1000</f>
        <v>0</v>
      </c>
      <c r="X179" s="19">
        <f>[1]TOBEPAID!X138/1000</f>
        <v>0</v>
      </c>
      <c r="Y179" s="19">
        <f t="shared" si="32"/>
        <v>0</v>
      </c>
      <c r="Z179" s="19">
        <f t="shared" si="31"/>
        <v>0</v>
      </c>
      <c r="AA179" s="19">
        <f>[1]TOBEPAID!AA138/1000</f>
        <v>0</v>
      </c>
      <c r="AB179" s="19">
        <f>[1]TOBEPAID!AB138/1000</f>
        <v>3251.5262799999996</v>
      </c>
      <c r="AC179" s="19"/>
      <c r="AD179" s="19"/>
    </row>
    <row r="180" spans="1:30" x14ac:dyDescent="0.2">
      <c r="A180" s="18"/>
      <c r="D180" s="21" t="s">
        <v>57</v>
      </c>
      <c r="E180" s="21" t="s">
        <v>57</v>
      </c>
      <c r="F180" s="21" t="s">
        <v>57</v>
      </c>
      <c r="G180" s="21"/>
      <c r="H180" s="21" t="s">
        <v>57</v>
      </c>
      <c r="I180" s="21" t="s">
        <v>57</v>
      </c>
      <c r="J180" s="21" t="s">
        <v>57</v>
      </c>
      <c r="K180" s="21" t="s">
        <v>57</v>
      </c>
      <c r="L180" s="21" t="s">
        <v>57</v>
      </c>
      <c r="M180" s="21"/>
      <c r="N180" s="21" t="s">
        <v>57</v>
      </c>
      <c r="O180" s="21" t="s">
        <v>57</v>
      </c>
      <c r="P180" s="21" t="s">
        <v>57</v>
      </c>
      <c r="Q180" s="21"/>
      <c r="R180" s="21" t="s">
        <v>57</v>
      </c>
      <c r="S180" s="21" t="s">
        <v>57</v>
      </c>
      <c r="T180" s="21" t="s">
        <v>57</v>
      </c>
      <c r="U180" s="21" t="s">
        <v>57</v>
      </c>
      <c r="V180" s="21" t="s">
        <v>57</v>
      </c>
      <c r="W180" s="21"/>
      <c r="X180" s="21" t="s">
        <v>57</v>
      </c>
      <c r="Y180" s="21" t="s">
        <v>57</v>
      </c>
      <c r="Z180" s="21" t="s">
        <v>57</v>
      </c>
      <c r="AA180" s="21" t="s">
        <v>57</v>
      </c>
      <c r="AB180" s="40" t="s">
        <v>118</v>
      </c>
      <c r="AC180" s="40"/>
      <c r="AD180" s="40"/>
    </row>
    <row r="181" spans="1:30" x14ac:dyDescent="0.2">
      <c r="A181" s="18"/>
      <c r="D181" s="19">
        <f>SUM(D167:D179)</f>
        <v>2385878.5887000002</v>
      </c>
      <c r="E181" s="19">
        <f>SUM(E167:E179)</f>
        <v>157227.59899999999</v>
      </c>
      <c r="F181" s="19">
        <f>SUM(F167:F179)</f>
        <v>30000</v>
      </c>
      <c r="G181" s="19"/>
      <c r="H181" s="19">
        <f>SUM(H167:H179)</f>
        <v>2156703.9979999997</v>
      </c>
      <c r="I181" s="19">
        <f>SUM(I167:I179)</f>
        <v>0</v>
      </c>
      <c r="J181" s="19">
        <f>SUM(J167:J179)</f>
        <v>0</v>
      </c>
      <c r="K181" s="19">
        <f>SUM(K167:K179)</f>
        <v>0</v>
      </c>
      <c r="L181" s="19">
        <f>SUM(L167:L179)</f>
        <v>0</v>
      </c>
      <c r="M181" s="19"/>
      <c r="N181" s="19">
        <f>SUM(N167:N179)</f>
        <v>187227.59899999999</v>
      </c>
      <c r="O181" s="19">
        <f>SUM(O167:O179)</f>
        <v>19255.03587</v>
      </c>
      <c r="P181" s="19">
        <f>SUM(P167:P179)</f>
        <v>0</v>
      </c>
      <c r="Q181" s="19"/>
      <c r="R181" s="19">
        <f>SUM(R167:R179)</f>
        <v>19255.035</v>
      </c>
      <c r="S181" s="19">
        <f>SUM(S167:S179)</f>
        <v>0</v>
      </c>
      <c r="T181" s="19">
        <f>SUM(T167:T179)</f>
        <v>0</v>
      </c>
      <c r="U181" s="19">
        <f>SUM(U167:U179)</f>
        <v>0</v>
      </c>
      <c r="V181" s="19">
        <f>SUM(V167:V179)</f>
        <v>0</v>
      </c>
      <c r="W181" s="19"/>
      <c r="X181" s="19">
        <f>SUM(X167:X179)</f>
        <v>19255.03587</v>
      </c>
      <c r="Y181" s="19">
        <f>SUM(Y167:Y179)</f>
        <v>2175959.0329999998</v>
      </c>
      <c r="Z181" s="19">
        <f>SUM(Z167:Z179)</f>
        <v>209919.5557</v>
      </c>
      <c r="AA181" s="19">
        <f>SUM(AA167:AA179)</f>
        <v>0</v>
      </c>
      <c r="AB181" s="19">
        <f>SUM(AB167:AB179)</f>
        <v>70417.568700000018</v>
      </c>
      <c r="AC181" s="19"/>
      <c r="AD181" s="19"/>
    </row>
    <row r="182" spans="1:30" x14ac:dyDescent="0.2">
      <c r="A182" s="18"/>
      <c r="D182" s="21" t="s">
        <v>57</v>
      </c>
      <c r="E182" s="21" t="s">
        <v>57</v>
      </c>
      <c r="F182" s="21" t="s">
        <v>57</v>
      </c>
      <c r="G182" s="21"/>
      <c r="H182" s="21" t="s">
        <v>57</v>
      </c>
      <c r="I182" s="21" t="s">
        <v>57</v>
      </c>
      <c r="J182" s="21" t="s">
        <v>57</v>
      </c>
      <c r="K182" s="21" t="s">
        <v>57</v>
      </c>
      <c r="L182" s="21" t="s">
        <v>57</v>
      </c>
      <c r="M182" s="21"/>
      <c r="N182" s="21" t="s">
        <v>57</v>
      </c>
      <c r="O182" s="21" t="s">
        <v>57</v>
      </c>
      <c r="P182" s="21" t="s">
        <v>57</v>
      </c>
      <c r="Q182" s="21"/>
      <c r="R182" s="21" t="s">
        <v>57</v>
      </c>
      <c r="S182" s="21" t="s">
        <v>57</v>
      </c>
      <c r="T182" s="21" t="s">
        <v>57</v>
      </c>
      <c r="U182" s="21" t="s">
        <v>57</v>
      </c>
      <c r="V182" s="21" t="s">
        <v>57</v>
      </c>
      <c r="W182" s="21"/>
      <c r="X182" s="21" t="s">
        <v>57</v>
      </c>
      <c r="Y182" s="21" t="s">
        <v>57</v>
      </c>
      <c r="Z182" s="21" t="s">
        <v>57</v>
      </c>
      <c r="AA182" s="21" t="s">
        <v>57</v>
      </c>
      <c r="AB182" s="40" t="s">
        <v>118</v>
      </c>
      <c r="AC182" s="40"/>
      <c r="AD182" s="40"/>
    </row>
    <row r="183" spans="1:30" x14ac:dyDescent="0.2">
      <c r="A183" s="18"/>
      <c r="B183" s="17"/>
      <c r="C183" s="9"/>
      <c r="D183" s="30"/>
      <c r="E183" s="30"/>
      <c r="F183" s="19"/>
      <c r="G183" s="19"/>
      <c r="H183" s="19"/>
      <c r="I183" s="19"/>
      <c r="J183" s="30"/>
      <c r="K183" s="30"/>
      <c r="L183" s="19"/>
      <c r="M183" s="19"/>
      <c r="N183" s="30"/>
      <c r="O183" s="19"/>
      <c r="P183" s="19"/>
      <c r="Q183" s="19"/>
      <c r="R183" s="30"/>
      <c r="S183" s="19"/>
      <c r="T183" s="19"/>
      <c r="U183" s="30"/>
      <c r="V183" s="30"/>
      <c r="W183" s="30"/>
      <c r="X183" s="30"/>
      <c r="Y183" s="44"/>
      <c r="Z183" s="30"/>
      <c r="AA183" s="30"/>
      <c r="AB183" s="44"/>
      <c r="AC183" s="44"/>
      <c r="AD183" s="44"/>
    </row>
    <row r="184" spans="1:30" x14ac:dyDescent="0.2">
      <c r="A184" s="18">
        <v>13</v>
      </c>
      <c r="B184" s="17" t="s">
        <v>130</v>
      </c>
      <c r="C184" s="17" t="s">
        <v>51</v>
      </c>
      <c r="D184" s="19">
        <f>32499718.37/1000</f>
        <v>32499.718370000002</v>
      </c>
      <c r="E184" s="19">
        <f>[1]TOBEPAID!E143/1000</f>
        <v>0</v>
      </c>
      <c r="F184" s="19">
        <f>[1]TOBEPAID!F143/1000</f>
        <v>0</v>
      </c>
      <c r="G184" s="19">
        <f>[1]TOBEPAID!G143/1000</f>
        <v>0</v>
      </c>
      <c r="H184" s="19">
        <f>32499000/1000</f>
        <v>32499</v>
      </c>
      <c r="I184" s="19">
        <f>[1]TOBEPAID!I143/1000</f>
        <v>0</v>
      </c>
      <c r="J184" s="19">
        <f>[1]TOBEPAID!J143/1000</f>
        <v>0</v>
      </c>
      <c r="K184" s="19">
        <f>[1]TOBEPAID!K143/1000</f>
        <v>0</v>
      </c>
      <c r="L184" s="19">
        <f>[1]TOBEPAID!L143/1000</f>
        <v>0</v>
      </c>
      <c r="M184" s="19">
        <f>[1]TOBEPAID!M143/1000</f>
        <v>0</v>
      </c>
      <c r="N184" s="19">
        <f>[1]TOBEPAID!N143/1000</f>
        <v>0</v>
      </c>
      <c r="O184" s="19">
        <f>[1]TOBEPAID!O143/1000</f>
        <v>0</v>
      </c>
      <c r="P184" s="19">
        <f>[1]TOBEPAID!P143/1000</f>
        <v>0</v>
      </c>
      <c r="Q184" s="19">
        <f>[1]TOBEPAID!Q143/1000</f>
        <v>0</v>
      </c>
      <c r="R184" s="19">
        <v>0</v>
      </c>
      <c r="S184" s="19">
        <f>[1]TOBEPAID!S143/1000</f>
        <v>0</v>
      </c>
      <c r="T184" s="19">
        <f>[1]TOBEPAID!T143/1000</f>
        <v>0</v>
      </c>
      <c r="U184" s="19">
        <f>[1]TOBEPAID!U143/1000</f>
        <v>0</v>
      </c>
      <c r="V184" s="19">
        <f>[1]TOBEPAID!V143/1000</f>
        <v>0</v>
      </c>
      <c r="W184" s="19">
        <f>[1]TOBEPAID!W143/1000</f>
        <v>0</v>
      </c>
      <c r="X184" s="19">
        <f>[1]TOBEPAID!X143/1000</f>
        <v>0</v>
      </c>
      <c r="Y184" s="19">
        <f>+H184+R184</f>
        <v>32499</v>
      </c>
      <c r="Z184" s="19">
        <f t="shared" ref="Z184:Z199" si="33">+D184-Y184</f>
        <v>0.71837000000232365</v>
      </c>
      <c r="AA184" s="19">
        <f>[1]TOBEPAID!AA143/1000</f>
        <v>0</v>
      </c>
      <c r="AB184" s="19">
        <f>[1]TOBEPAID!AB143/1000</f>
        <v>25116.240760000001</v>
      </c>
      <c r="AC184" s="19"/>
      <c r="AD184" s="19"/>
    </row>
    <row r="185" spans="1:30" x14ac:dyDescent="0.2">
      <c r="A185" s="18"/>
      <c r="B185" s="17" t="s">
        <v>131</v>
      </c>
      <c r="C185" s="17" t="s">
        <v>127</v>
      </c>
      <c r="D185" s="19">
        <f>5200000/1000</f>
        <v>5200</v>
      </c>
      <c r="E185" s="19"/>
      <c r="F185" s="19"/>
      <c r="G185" s="19"/>
      <c r="H185" s="19">
        <f>5200000/1000</f>
        <v>5200</v>
      </c>
      <c r="I185" s="19"/>
      <c r="J185" s="19"/>
      <c r="K185" s="19"/>
      <c r="L185" s="19"/>
      <c r="M185" s="19"/>
      <c r="N185" s="19"/>
      <c r="O185" s="19"/>
      <c r="P185" s="19"/>
      <c r="Q185" s="19"/>
      <c r="R185" s="19">
        <v>0</v>
      </c>
      <c r="S185" s="19"/>
      <c r="T185" s="19"/>
      <c r="U185" s="19"/>
      <c r="V185" s="19"/>
      <c r="W185" s="19"/>
      <c r="X185" s="19"/>
      <c r="Y185" s="19">
        <f>+H185+R185</f>
        <v>5200</v>
      </c>
      <c r="Z185" s="19">
        <f t="shared" si="33"/>
        <v>0</v>
      </c>
      <c r="AA185" s="19"/>
      <c r="AB185" s="19"/>
      <c r="AC185" s="19"/>
      <c r="AD185" s="19"/>
    </row>
    <row r="186" spans="1:30" x14ac:dyDescent="0.2">
      <c r="C186" s="3" t="s">
        <v>132</v>
      </c>
      <c r="D186" s="19">
        <f>5872987/1000</f>
        <v>5872.9870000000001</v>
      </c>
      <c r="E186" s="19">
        <f>[1]TOBEPAID!E144/1000</f>
        <v>5872.8970559999998</v>
      </c>
      <c r="F186" s="19">
        <f>[1]TOBEPAID!F144/1000</f>
        <v>0</v>
      </c>
      <c r="G186" s="19">
        <f>[1]TOBEPAID!G144/1000</f>
        <v>0</v>
      </c>
      <c r="H186" s="19">
        <f>5872897/1000</f>
        <v>5872.8969999999999</v>
      </c>
      <c r="I186" s="19">
        <f>[1]TOBEPAID!I144/1000</f>
        <v>0</v>
      </c>
      <c r="J186" s="19">
        <f>[1]TOBEPAID!J144/1000</f>
        <v>0</v>
      </c>
      <c r="K186" s="19">
        <f>[1]TOBEPAID!K144/1000</f>
        <v>0</v>
      </c>
      <c r="L186" s="19">
        <f>[1]TOBEPAID!L144/1000</f>
        <v>0</v>
      </c>
      <c r="M186" s="19">
        <f>[1]TOBEPAID!M144/1000</f>
        <v>0</v>
      </c>
      <c r="N186" s="19">
        <f>[1]TOBEPAID!N144/1000</f>
        <v>5872.8970559999998</v>
      </c>
      <c r="O186" s="19">
        <f>[1]TOBEPAID!O144/1000</f>
        <v>0</v>
      </c>
      <c r="P186" s="19">
        <f>[1]TOBEPAID!P144/1000</f>
        <v>0</v>
      </c>
      <c r="Q186" s="19">
        <f>[1]TOBEPAID!Q144/1000</f>
        <v>0</v>
      </c>
      <c r="R186" s="19">
        <v>0</v>
      </c>
      <c r="S186" s="19">
        <f>[1]TOBEPAID!S144/1000</f>
        <v>0</v>
      </c>
      <c r="T186" s="19">
        <f>[1]TOBEPAID!T144/1000</f>
        <v>0</v>
      </c>
      <c r="U186" s="19">
        <f>[1]TOBEPAID!U144/1000</f>
        <v>0</v>
      </c>
      <c r="V186" s="19">
        <f>[1]TOBEPAID!V144/1000</f>
        <v>0</v>
      </c>
      <c r="W186" s="19">
        <f>[1]TOBEPAID!W144/1000</f>
        <v>0</v>
      </c>
      <c r="X186" s="19">
        <f>[1]TOBEPAID!X144/1000</f>
        <v>0</v>
      </c>
      <c r="Y186" s="19">
        <f t="shared" ref="Y186:Y199" si="34">+H186+R186</f>
        <v>5872.8969999999999</v>
      </c>
      <c r="Z186" s="19">
        <f t="shared" si="33"/>
        <v>9.0000000000145519E-2</v>
      </c>
      <c r="AA186" s="19">
        <f>[1]TOBEPAID!AA144/1000</f>
        <v>0</v>
      </c>
      <c r="AB186" s="19">
        <f>[1]TOBEPAID!AB144/1000</f>
        <v>3.9999997243285176E-6</v>
      </c>
      <c r="AC186" s="19"/>
      <c r="AD186" s="19"/>
    </row>
    <row r="187" spans="1:30" x14ac:dyDescent="0.2">
      <c r="C187" s="3" t="s">
        <v>133</v>
      </c>
      <c r="D187" s="19">
        <f>8000000/1000</f>
        <v>8000</v>
      </c>
      <c r="E187" s="19"/>
      <c r="F187" s="19"/>
      <c r="G187" s="19"/>
      <c r="H187" s="19">
        <f>8000000/1000</f>
        <v>8000</v>
      </c>
      <c r="I187" s="19"/>
      <c r="J187" s="19"/>
      <c r="K187" s="19"/>
      <c r="L187" s="19"/>
      <c r="M187" s="19"/>
      <c r="N187" s="19"/>
      <c r="O187" s="19"/>
      <c r="P187" s="19"/>
      <c r="Q187" s="19"/>
      <c r="R187" s="19">
        <v>0</v>
      </c>
      <c r="S187" s="19"/>
      <c r="T187" s="19"/>
      <c r="U187" s="19"/>
      <c r="V187" s="19"/>
      <c r="W187" s="19"/>
      <c r="X187" s="19"/>
      <c r="Y187" s="19">
        <f t="shared" si="34"/>
        <v>8000</v>
      </c>
      <c r="Z187" s="19">
        <f t="shared" si="33"/>
        <v>0</v>
      </c>
      <c r="AA187" s="19">
        <f>[1]TOBEPAID!AA145/1000</f>
        <v>0</v>
      </c>
      <c r="AB187" s="19">
        <f>[1]TOBEPAID!AB145/1000</f>
        <v>5007.4414100000004</v>
      </c>
      <c r="AC187" s="19"/>
      <c r="AD187" s="19"/>
    </row>
    <row r="188" spans="1:30" x14ac:dyDescent="0.2">
      <c r="C188" s="3" t="s">
        <v>134</v>
      </c>
      <c r="D188" s="19">
        <f>7400000/1000</f>
        <v>7400</v>
      </c>
      <c r="E188" s="19"/>
      <c r="F188" s="19"/>
      <c r="G188" s="19"/>
      <c r="H188" s="19">
        <f>7400000/1000</f>
        <v>7400</v>
      </c>
      <c r="I188" s="19"/>
      <c r="J188" s="19"/>
      <c r="K188" s="19"/>
      <c r="L188" s="19"/>
      <c r="M188" s="19"/>
      <c r="N188" s="19"/>
      <c r="O188" s="19"/>
      <c r="P188" s="19"/>
      <c r="Q188" s="19"/>
      <c r="R188" s="19">
        <v>0</v>
      </c>
      <c r="S188" s="19"/>
      <c r="T188" s="19"/>
      <c r="U188" s="19"/>
      <c r="V188" s="19"/>
      <c r="W188" s="19"/>
      <c r="X188" s="19"/>
      <c r="Y188" s="19">
        <f t="shared" si="34"/>
        <v>7400</v>
      </c>
      <c r="Z188" s="19">
        <f t="shared" si="33"/>
        <v>0</v>
      </c>
      <c r="AA188" s="19">
        <f>[1]TOBEPAID!AA146/1000</f>
        <v>0</v>
      </c>
      <c r="AB188" s="19">
        <f>[1]TOBEPAID!AB146/1000</f>
        <v>6848</v>
      </c>
      <c r="AC188" s="19"/>
      <c r="AD188" s="19"/>
    </row>
    <row r="189" spans="1:30" x14ac:dyDescent="0.2">
      <c r="C189" s="3" t="s">
        <v>135</v>
      </c>
      <c r="D189" s="19">
        <f>12000000/1000</f>
        <v>12000</v>
      </c>
      <c r="E189" s="19"/>
      <c r="F189" s="19"/>
      <c r="G189" s="19"/>
      <c r="H189" s="19">
        <f>12000000/1000</f>
        <v>12000</v>
      </c>
      <c r="I189" s="19"/>
      <c r="J189" s="19"/>
      <c r="K189" s="19"/>
      <c r="L189" s="19"/>
      <c r="M189" s="19"/>
      <c r="N189" s="19"/>
      <c r="O189" s="19"/>
      <c r="P189" s="19"/>
      <c r="Q189" s="19"/>
      <c r="R189" s="19">
        <v>0</v>
      </c>
      <c r="S189" s="19"/>
      <c r="T189" s="19"/>
      <c r="U189" s="19"/>
      <c r="V189" s="19"/>
      <c r="W189" s="19"/>
      <c r="X189" s="19"/>
      <c r="Y189" s="19">
        <f t="shared" si="34"/>
        <v>12000</v>
      </c>
      <c r="Z189" s="19">
        <f t="shared" si="33"/>
        <v>0</v>
      </c>
      <c r="AA189" s="19"/>
      <c r="AB189" s="19"/>
      <c r="AC189" s="19"/>
      <c r="AD189" s="19"/>
    </row>
    <row r="190" spans="1:30" x14ac:dyDescent="0.2">
      <c r="C190" s="3" t="s">
        <v>136</v>
      </c>
      <c r="D190" s="19">
        <f>20373000/1000</f>
        <v>20373</v>
      </c>
      <c r="E190" s="19"/>
      <c r="F190" s="19"/>
      <c r="G190" s="19"/>
      <c r="H190" s="19">
        <f>20372240.63/1000</f>
        <v>20372.24063</v>
      </c>
      <c r="I190" s="19"/>
      <c r="J190" s="19"/>
      <c r="K190" s="19"/>
      <c r="L190" s="19"/>
      <c r="M190" s="19"/>
      <c r="N190" s="19"/>
      <c r="O190" s="19"/>
      <c r="P190" s="19"/>
      <c r="Q190" s="19"/>
      <c r="R190" s="19">
        <v>0</v>
      </c>
      <c r="S190" s="19"/>
      <c r="T190" s="19"/>
      <c r="U190" s="19"/>
      <c r="V190" s="19"/>
      <c r="W190" s="19"/>
      <c r="X190" s="19"/>
      <c r="Y190" s="19">
        <f t="shared" si="34"/>
        <v>20372.24063</v>
      </c>
      <c r="Z190" s="19">
        <f t="shared" si="33"/>
        <v>0.75936999999976251</v>
      </c>
      <c r="AA190" s="19"/>
      <c r="AB190" s="19"/>
      <c r="AC190" s="19"/>
      <c r="AD190" s="19"/>
    </row>
    <row r="191" spans="1:30" x14ac:dyDescent="0.2">
      <c r="C191" s="3" t="s">
        <v>137</v>
      </c>
      <c r="D191" s="19">
        <f>132349000/1000</f>
        <v>132349</v>
      </c>
      <c r="E191" s="19"/>
      <c r="F191" s="19"/>
      <c r="G191" s="19"/>
      <c r="H191" s="19">
        <f>121349000/1000</f>
        <v>121349</v>
      </c>
      <c r="I191" s="19"/>
      <c r="J191" s="19"/>
      <c r="K191" s="19"/>
      <c r="L191" s="19"/>
      <c r="M191" s="19"/>
      <c r="N191" s="19"/>
      <c r="O191" s="19"/>
      <c r="P191" s="19"/>
      <c r="Q191" s="19"/>
      <c r="R191" s="19">
        <v>0</v>
      </c>
      <c r="S191" s="19"/>
      <c r="T191" s="19"/>
      <c r="U191" s="19"/>
      <c r="V191" s="19"/>
      <c r="W191" s="19"/>
      <c r="X191" s="19"/>
      <c r="Y191" s="19">
        <f t="shared" si="34"/>
        <v>121349</v>
      </c>
      <c r="Z191" s="19">
        <f t="shared" si="33"/>
        <v>11000</v>
      </c>
      <c r="AA191" s="19"/>
      <c r="AB191" s="19"/>
      <c r="AC191" s="19"/>
      <c r="AD191" s="19"/>
    </row>
    <row r="192" spans="1:30" x14ac:dyDescent="0.2">
      <c r="C192" s="3" t="s">
        <v>138</v>
      </c>
      <c r="D192" s="19">
        <f>5000000/1000</f>
        <v>5000</v>
      </c>
      <c r="E192" s="19"/>
      <c r="F192" s="19"/>
      <c r="G192" s="19"/>
      <c r="H192" s="19">
        <f>5000000/1000</f>
        <v>5000</v>
      </c>
      <c r="I192" s="19"/>
      <c r="J192" s="19"/>
      <c r="K192" s="19"/>
      <c r="L192" s="19"/>
      <c r="M192" s="19"/>
      <c r="N192" s="19"/>
      <c r="O192" s="19"/>
      <c r="P192" s="19"/>
      <c r="Q192" s="19"/>
      <c r="R192" s="19">
        <v>0</v>
      </c>
      <c r="S192" s="19"/>
      <c r="T192" s="19"/>
      <c r="U192" s="19"/>
      <c r="V192" s="19"/>
      <c r="W192" s="19"/>
      <c r="X192" s="19"/>
      <c r="Y192" s="19">
        <f t="shared" si="34"/>
        <v>5000</v>
      </c>
      <c r="Z192" s="19">
        <f t="shared" si="33"/>
        <v>0</v>
      </c>
      <c r="AA192" s="19">
        <f>[1]TOBEPAID!AA147/1000</f>
        <v>0</v>
      </c>
      <c r="AB192" s="19">
        <f>[1]TOBEPAID!AB147/1000</f>
        <v>28.036200000000001</v>
      </c>
      <c r="AC192" s="19"/>
      <c r="AD192" s="19"/>
    </row>
    <row r="193" spans="1:30" x14ac:dyDescent="0.2">
      <c r="C193" s="3" t="s">
        <v>129</v>
      </c>
      <c r="D193" s="19">
        <f>7532007/1000</f>
        <v>7532.0069999999996</v>
      </c>
      <c r="E193" s="19"/>
      <c r="F193" s="19"/>
      <c r="G193" s="19"/>
      <c r="H193" s="19">
        <f>7532007/1000</f>
        <v>7532.0069999999996</v>
      </c>
      <c r="I193" s="19"/>
      <c r="J193" s="19"/>
      <c r="K193" s="19"/>
      <c r="L193" s="19"/>
      <c r="M193" s="19"/>
      <c r="N193" s="19"/>
      <c r="O193" s="19"/>
      <c r="P193" s="19"/>
      <c r="Q193" s="19"/>
      <c r="R193" s="19">
        <v>0</v>
      </c>
      <c r="S193" s="19"/>
      <c r="T193" s="19"/>
      <c r="U193" s="19"/>
      <c r="V193" s="19"/>
      <c r="W193" s="19"/>
      <c r="X193" s="19"/>
      <c r="Y193" s="19">
        <f t="shared" si="34"/>
        <v>7532.0069999999996</v>
      </c>
      <c r="Z193" s="19">
        <f t="shared" si="33"/>
        <v>0</v>
      </c>
      <c r="AA193" s="19"/>
      <c r="AB193" s="19"/>
      <c r="AC193" s="19"/>
      <c r="AD193" s="19"/>
    </row>
    <row r="194" spans="1:30" x14ac:dyDescent="0.2">
      <c r="C194" s="3" t="s">
        <v>139</v>
      </c>
      <c r="D194" s="19">
        <f>3012645.27/1000</f>
        <v>3012.64527</v>
      </c>
      <c r="E194" s="19"/>
      <c r="F194" s="19"/>
      <c r="G194" s="19"/>
      <c r="H194" s="19">
        <f>3012645.27/1000</f>
        <v>3012.64527</v>
      </c>
      <c r="I194" s="19"/>
      <c r="J194" s="19"/>
      <c r="K194" s="19"/>
      <c r="L194" s="19"/>
      <c r="M194" s="19"/>
      <c r="N194" s="19"/>
      <c r="O194" s="19"/>
      <c r="P194" s="19"/>
      <c r="Q194" s="19"/>
      <c r="R194" s="19">
        <v>0</v>
      </c>
      <c r="S194" s="19"/>
      <c r="T194" s="19"/>
      <c r="U194" s="19"/>
      <c r="V194" s="19"/>
      <c r="W194" s="19"/>
      <c r="X194" s="19"/>
      <c r="Y194" s="19">
        <f t="shared" si="34"/>
        <v>3012.64527</v>
      </c>
      <c r="Z194" s="19">
        <f t="shared" si="33"/>
        <v>0</v>
      </c>
      <c r="AA194" s="19"/>
      <c r="AB194" s="19"/>
      <c r="AC194" s="19"/>
      <c r="AD194" s="19"/>
    </row>
    <row r="195" spans="1:30" x14ac:dyDescent="0.2">
      <c r="C195" s="3" t="s">
        <v>140</v>
      </c>
      <c r="D195" s="19">
        <f>1724615.73/1000</f>
        <v>1724.61573</v>
      </c>
      <c r="E195" s="19"/>
      <c r="F195" s="19"/>
      <c r="G195" s="19"/>
      <c r="H195" s="19">
        <f>1724615.73/1000</f>
        <v>1724.61573</v>
      </c>
      <c r="I195" s="19"/>
      <c r="J195" s="19"/>
      <c r="K195" s="19"/>
      <c r="L195" s="19"/>
      <c r="M195" s="19"/>
      <c r="N195" s="19"/>
      <c r="O195" s="19"/>
      <c r="P195" s="19"/>
      <c r="Q195" s="19"/>
      <c r="R195" s="19">
        <v>0</v>
      </c>
      <c r="S195" s="19"/>
      <c r="T195" s="19"/>
      <c r="U195" s="19"/>
      <c r="V195" s="19"/>
      <c r="W195" s="19"/>
      <c r="X195" s="19"/>
      <c r="Y195" s="19">
        <f t="shared" si="34"/>
        <v>1724.61573</v>
      </c>
      <c r="Z195" s="19">
        <f t="shared" si="33"/>
        <v>0</v>
      </c>
      <c r="AA195" s="19"/>
      <c r="AB195" s="19"/>
      <c r="AC195" s="19"/>
      <c r="AD195" s="19"/>
    </row>
    <row r="196" spans="1:30" x14ac:dyDescent="0.2">
      <c r="A196" s="18"/>
      <c r="B196" s="17"/>
      <c r="C196" s="9" t="s">
        <v>96</v>
      </c>
      <c r="D196" s="19">
        <f>645730/1000</f>
        <v>645.73</v>
      </c>
      <c r="E196" s="19">
        <f>[1]TOBEPAID!E145/1000</f>
        <v>0</v>
      </c>
      <c r="F196" s="19">
        <f>[1]TOBEPAID!F145/1000</f>
        <v>0</v>
      </c>
      <c r="G196" s="19">
        <f>[1]TOBEPAID!G145/1000</f>
        <v>0</v>
      </c>
      <c r="H196" s="19">
        <v>0</v>
      </c>
      <c r="I196" s="19">
        <f>[1]TOBEPAID!I145/1000</f>
        <v>0</v>
      </c>
      <c r="J196" s="19">
        <f>[1]TOBEPAID!J145/1000</f>
        <v>0</v>
      </c>
      <c r="K196" s="19">
        <f>[1]TOBEPAID!K145/1000</f>
        <v>0</v>
      </c>
      <c r="L196" s="19">
        <f>[1]TOBEPAID!L145/1000</f>
        <v>0</v>
      </c>
      <c r="M196" s="19">
        <f>[1]TOBEPAID!M145/1000</f>
        <v>0</v>
      </c>
      <c r="N196" s="19">
        <f>[1]TOBEPAID!N145/1000</f>
        <v>0</v>
      </c>
      <c r="O196" s="19">
        <f>[1]TOBEPAID!O145/1000</f>
        <v>645.73073999999997</v>
      </c>
      <c r="P196" s="19">
        <f>[1]TOBEPAID!P145/1000</f>
        <v>0</v>
      </c>
      <c r="Q196" s="19">
        <f>[1]TOBEPAID!Q145/1000</f>
        <v>0</v>
      </c>
      <c r="R196" s="19">
        <f>645730/1000</f>
        <v>645.73</v>
      </c>
      <c r="S196" s="19">
        <f>[1]TOBEPAID!S145/1000</f>
        <v>0</v>
      </c>
      <c r="T196" s="19">
        <f>[1]TOBEPAID!T145/1000</f>
        <v>0</v>
      </c>
      <c r="U196" s="19">
        <f>[1]TOBEPAID!U145/1000</f>
        <v>0</v>
      </c>
      <c r="V196" s="19">
        <f>[1]TOBEPAID!V145/1000</f>
        <v>0</v>
      </c>
      <c r="W196" s="19">
        <f>[1]TOBEPAID!W145/1000</f>
        <v>0</v>
      </c>
      <c r="X196" s="19">
        <f>[1]TOBEPAID!X145/1000</f>
        <v>645.73073999999997</v>
      </c>
      <c r="Y196" s="19">
        <f t="shared" si="34"/>
        <v>645.73</v>
      </c>
      <c r="Z196" s="19">
        <f t="shared" si="33"/>
        <v>0</v>
      </c>
      <c r="AA196" s="19">
        <f>[1]TOBEPAID!AA148/1000</f>
        <v>0</v>
      </c>
      <c r="AB196" s="19">
        <f>[1]TOBEPAID!AB148/1000</f>
        <v>3500</v>
      </c>
      <c r="AC196" s="19"/>
      <c r="AD196" s="19"/>
    </row>
    <row r="197" spans="1:30" x14ac:dyDescent="0.2">
      <c r="A197" s="18"/>
      <c r="B197" s="17"/>
      <c r="C197" s="9" t="s">
        <v>55</v>
      </c>
      <c r="D197" s="19">
        <v>0</v>
      </c>
      <c r="E197" s="19">
        <f>[1]TOBEPAID!E146/1000</f>
        <v>0</v>
      </c>
      <c r="F197" s="19">
        <f>[1]TOBEPAID!F146/1000</f>
        <v>0</v>
      </c>
      <c r="G197" s="19">
        <f>[1]TOBEPAID!G146/1000</f>
        <v>0</v>
      </c>
      <c r="H197" s="19">
        <v>0</v>
      </c>
      <c r="I197" s="19">
        <f>[1]TOBEPAID!I146/1000</f>
        <v>0</v>
      </c>
      <c r="J197" s="19">
        <f>[1]TOBEPAID!J146/1000</f>
        <v>0</v>
      </c>
      <c r="K197" s="19">
        <f>[1]TOBEPAID!K146/1000</f>
        <v>0</v>
      </c>
      <c r="L197" s="19">
        <f>[1]TOBEPAID!L146/1000</f>
        <v>0</v>
      </c>
      <c r="M197" s="19">
        <f>[1]TOBEPAID!M146/1000</f>
        <v>0</v>
      </c>
      <c r="N197" s="19">
        <f>[1]TOBEPAID!N146/1000</f>
        <v>0</v>
      </c>
      <c r="O197" s="19">
        <f>[1]TOBEPAID!O146/1000</f>
        <v>0</v>
      </c>
      <c r="P197" s="19">
        <f>[1]TOBEPAID!P146/1000</f>
        <v>0</v>
      </c>
      <c r="Q197" s="19">
        <f>[1]TOBEPAID!Q146/1000</f>
        <v>0</v>
      </c>
      <c r="R197" s="19">
        <v>0</v>
      </c>
      <c r="S197" s="19">
        <f>[1]TOBEPAID!S146/1000</f>
        <v>0</v>
      </c>
      <c r="T197" s="19">
        <f>[1]TOBEPAID!T146/1000</f>
        <v>0</v>
      </c>
      <c r="U197" s="19">
        <f>[1]TOBEPAID!U146/1000</f>
        <v>0</v>
      </c>
      <c r="V197" s="19">
        <f>[1]TOBEPAID!V146/1000</f>
        <v>0</v>
      </c>
      <c r="W197" s="19">
        <f>[1]TOBEPAID!W146/1000</f>
        <v>0</v>
      </c>
      <c r="X197" s="19">
        <f>[1]TOBEPAID!X146/1000</f>
        <v>0</v>
      </c>
      <c r="Y197" s="19">
        <f t="shared" si="34"/>
        <v>0</v>
      </c>
      <c r="Z197" s="19">
        <f t="shared" si="33"/>
        <v>0</v>
      </c>
      <c r="AA197" s="19" t="e">
        <f>[1]TOBEPAID!AA149/1000</f>
        <v>#VALUE!</v>
      </c>
      <c r="AB197" s="19" t="e">
        <f>[1]TOBEPAID!AB149/1000</f>
        <v>#VALUE!</v>
      </c>
      <c r="AC197" s="19"/>
      <c r="AD197" s="19"/>
    </row>
    <row r="198" spans="1:30" x14ac:dyDescent="0.2">
      <c r="A198" s="18"/>
      <c r="B198" s="17"/>
      <c r="C198" s="9" t="s">
        <v>97</v>
      </c>
      <c r="D198" s="19">
        <v>0</v>
      </c>
      <c r="E198" s="19">
        <f>[1]TOBEPAID!E147/1000</f>
        <v>0</v>
      </c>
      <c r="F198" s="19">
        <f>[1]TOBEPAID!F147/1000</f>
        <v>0</v>
      </c>
      <c r="G198" s="19">
        <f>[1]TOBEPAID!G147/1000</f>
        <v>0</v>
      </c>
      <c r="H198" s="19">
        <v>0</v>
      </c>
      <c r="I198" s="19">
        <f>[1]TOBEPAID!I147/1000</f>
        <v>0</v>
      </c>
      <c r="J198" s="19">
        <f>[1]TOBEPAID!J147/1000</f>
        <v>0</v>
      </c>
      <c r="K198" s="19">
        <f>[1]TOBEPAID!K147/1000</f>
        <v>0</v>
      </c>
      <c r="L198" s="19">
        <f>[1]TOBEPAID!L147/1000</f>
        <v>0</v>
      </c>
      <c r="M198" s="19">
        <f>[1]TOBEPAID!M147/1000</f>
        <v>0</v>
      </c>
      <c r="N198" s="19">
        <f>[1]TOBEPAID!N147/1000</f>
        <v>0</v>
      </c>
      <c r="O198" s="19">
        <f>[1]TOBEPAID!O147/1000</f>
        <v>0</v>
      </c>
      <c r="P198" s="19">
        <f>[1]TOBEPAID!P147/1000</f>
        <v>0</v>
      </c>
      <c r="Q198" s="19">
        <f>[1]TOBEPAID!Q147/1000</f>
        <v>0</v>
      </c>
      <c r="R198" s="19">
        <v>0</v>
      </c>
      <c r="S198" s="19">
        <f>[1]TOBEPAID!S147/1000</f>
        <v>0</v>
      </c>
      <c r="T198" s="19">
        <f>[1]TOBEPAID!T147/1000</f>
        <v>0</v>
      </c>
      <c r="U198" s="19">
        <f>[1]TOBEPAID!U147/1000</f>
        <v>0</v>
      </c>
      <c r="V198" s="19">
        <f>[1]TOBEPAID!V147/1000</f>
        <v>0</v>
      </c>
      <c r="W198" s="19">
        <f>[1]TOBEPAID!W147/1000</f>
        <v>0</v>
      </c>
      <c r="X198" s="19">
        <f>[1]TOBEPAID!X147/1000</f>
        <v>0</v>
      </c>
      <c r="Y198" s="19">
        <f t="shared" si="34"/>
        <v>0</v>
      </c>
      <c r="Z198" s="19">
        <f t="shared" si="33"/>
        <v>0</v>
      </c>
      <c r="AA198" s="19">
        <f>[1]TOBEPAID!AA150/1000</f>
        <v>0</v>
      </c>
      <c r="AB198" s="19">
        <f>[1]TOBEPAID!AB150/1000</f>
        <v>40499.718374000004</v>
      </c>
      <c r="AC198" s="19"/>
      <c r="AD198" s="19"/>
    </row>
    <row r="199" spans="1:30" x14ac:dyDescent="0.2">
      <c r="A199" s="18"/>
      <c r="B199" s="22"/>
      <c r="C199" s="17" t="s">
        <v>119</v>
      </c>
      <c r="D199" s="19">
        <v>0</v>
      </c>
      <c r="E199" s="19">
        <f>[1]TOBEPAID!E148/1000</f>
        <v>0</v>
      </c>
      <c r="F199" s="19">
        <f>[1]TOBEPAID!F148/1000</f>
        <v>0</v>
      </c>
      <c r="G199" s="19">
        <f>[1]TOBEPAID!G148/1000</f>
        <v>0</v>
      </c>
      <c r="H199" s="19">
        <v>0</v>
      </c>
      <c r="I199" s="19">
        <f>[1]TOBEPAID!I148/1000</f>
        <v>0</v>
      </c>
      <c r="J199" s="19">
        <f>[1]TOBEPAID!J148/1000</f>
        <v>0</v>
      </c>
      <c r="K199" s="19">
        <f>[1]TOBEPAID!K148/1000</f>
        <v>0</v>
      </c>
      <c r="L199" s="19">
        <f>[1]TOBEPAID!L148/1000</f>
        <v>0</v>
      </c>
      <c r="M199" s="19">
        <f>[1]TOBEPAID!M148/1000</f>
        <v>0</v>
      </c>
      <c r="N199" s="19">
        <f>[1]TOBEPAID!N148/1000</f>
        <v>0</v>
      </c>
      <c r="O199" s="19">
        <f>[1]TOBEPAID!O148/1000</f>
        <v>0</v>
      </c>
      <c r="P199" s="19">
        <f>[1]TOBEPAID!P148/1000</f>
        <v>0</v>
      </c>
      <c r="Q199" s="19">
        <f>[1]TOBEPAID!Q148/1000</f>
        <v>0</v>
      </c>
      <c r="R199" s="19">
        <v>0</v>
      </c>
      <c r="S199" s="19">
        <f>[1]TOBEPAID!S148/1000</f>
        <v>0</v>
      </c>
      <c r="T199" s="19">
        <f>[1]TOBEPAID!T148/1000</f>
        <v>0</v>
      </c>
      <c r="U199" s="19">
        <f>[1]TOBEPAID!U148/1000</f>
        <v>0</v>
      </c>
      <c r="V199" s="19">
        <f>[1]TOBEPAID!V148/1000</f>
        <v>0</v>
      </c>
      <c r="W199" s="19">
        <f>[1]TOBEPAID!W148/1000</f>
        <v>0</v>
      </c>
      <c r="X199" s="19">
        <f>[1]TOBEPAID!X148/1000</f>
        <v>0</v>
      </c>
      <c r="Y199" s="19">
        <f t="shared" si="34"/>
        <v>0</v>
      </c>
      <c r="Z199" s="19">
        <f t="shared" si="33"/>
        <v>0</v>
      </c>
      <c r="AA199" s="19" t="e">
        <f>[1]TOBEPAID!AA151/1000</f>
        <v>#VALUE!</v>
      </c>
      <c r="AB199" s="19" t="e">
        <f>[1]TOBEPAID!AB151/1000</f>
        <v>#VALUE!</v>
      </c>
      <c r="AC199" s="19"/>
      <c r="AD199" s="19"/>
    </row>
    <row r="200" spans="1:30" x14ac:dyDescent="0.2">
      <c r="A200" s="18"/>
      <c r="B200" s="22"/>
      <c r="C200" s="9"/>
      <c r="D200" s="21" t="s">
        <v>57</v>
      </c>
      <c r="E200" s="21" t="s">
        <v>57</v>
      </c>
      <c r="F200" s="21" t="s">
        <v>57</v>
      </c>
      <c r="G200" s="21"/>
      <c r="H200" s="21" t="s">
        <v>57</v>
      </c>
      <c r="I200" s="21" t="s">
        <v>57</v>
      </c>
      <c r="J200" s="21" t="s">
        <v>57</v>
      </c>
      <c r="K200" s="21" t="s">
        <v>57</v>
      </c>
      <c r="L200" s="21" t="s">
        <v>57</v>
      </c>
      <c r="M200" s="21"/>
      <c r="N200" s="21" t="s">
        <v>57</v>
      </c>
      <c r="O200" s="21" t="s">
        <v>57</v>
      </c>
      <c r="P200" s="21" t="s">
        <v>57</v>
      </c>
      <c r="Q200" s="21"/>
      <c r="R200" s="21" t="s">
        <v>57</v>
      </c>
      <c r="S200" s="21" t="s">
        <v>57</v>
      </c>
      <c r="T200" s="21" t="s">
        <v>57</v>
      </c>
      <c r="U200" s="21" t="s">
        <v>57</v>
      </c>
      <c r="V200" s="21" t="s">
        <v>57</v>
      </c>
      <c r="W200" s="21"/>
      <c r="X200" s="21" t="s">
        <v>57</v>
      </c>
      <c r="Y200" s="21" t="s">
        <v>57</v>
      </c>
      <c r="Z200" s="21" t="s">
        <v>57</v>
      </c>
      <c r="AA200" s="21" t="s">
        <v>57</v>
      </c>
      <c r="AB200" s="40" t="s">
        <v>118</v>
      </c>
      <c r="AC200" s="40"/>
      <c r="AD200" s="40"/>
    </row>
    <row r="201" spans="1:30" x14ac:dyDescent="0.2">
      <c r="A201" s="18"/>
      <c r="B201" s="22"/>
      <c r="C201" s="45"/>
      <c r="D201" s="35">
        <f>SUM(D184:D199)</f>
        <v>241609.70337000003</v>
      </c>
      <c r="E201" s="35">
        <f>SUM(E184:E199)</f>
        <v>5872.8970559999998</v>
      </c>
      <c r="F201" s="35">
        <f>SUM(F184:F199)</f>
        <v>0</v>
      </c>
      <c r="G201" s="35"/>
      <c r="H201" s="35">
        <f>SUM(H184:H199)</f>
        <v>229962.40563000002</v>
      </c>
      <c r="I201" s="35">
        <f>SUM(I184:I199)</f>
        <v>0</v>
      </c>
      <c r="J201" s="35">
        <f>SUM(J184:J199)</f>
        <v>0</v>
      </c>
      <c r="K201" s="35">
        <f>SUM(K184:K199)</f>
        <v>0</v>
      </c>
      <c r="L201" s="35">
        <f>SUM(L184:L199)</f>
        <v>0</v>
      </c>
      <c r="M201" s="35"/>
      <c r="N201" s="35">
        <f>SUM(N184:N199)</f>
        <v>5872.8970559999998</v>
      </c>
      <c r="O201" s="35">
        <f>SUM(O184:O199)</f>
        <v>645.73073999999997</v>
      </c>
      <c r="P201" s="35">
        <f>SUM(P184:P199)</f>
        <v>0</v>
      </c>
      <c r="Q201" s="35"/>
      <c r="R201" s="35">
        <f>SUM(R184:R199)</f>
        <v>645.73</v>
      </c>
      <c r="S201" s="35">
        <f>SUM(S184:S199)</f>
        <v>0</v>
      </c>
      <c r="T201" s="35">
        <f>SUM(T184:T199)</f>
        <v>0</v>
      </c>
      <c r="U201" s="35">
        <f>SUM(U184:U199)</f>
        <v>0</v>
      </c>
      <c r="V201" s="35">
        <f>SUM(V184:V199)</f>
        <v>0</v>
      </c>
      <c r="W201" s="35"/>
      <c r="X201" s="35">
        <f>SUM(X184:X199)</f>
        <v>645.73073999999997</v>
      </c>
      <c r="Y201" s="35">
        <f>SUM(Y184:Y199)</f>
        <v>230608.13563000003</v>
      </c>
      <c r="Z201" s="35">
        <f>SUM(Z184:Z199)</f>
        <v>11001.567740000002</v>
      </c>
      <c r="AA201" s="35" t="e">
        <f>SUM(AA184:AA199)</f>
        <v>#VALUE!</v>
      </c>
      <c r="AB201" s="35" t="e">
        <f>SUM(AB184:AB199)</f>
        <v>#VALUE!</v>
      </c>
      <c r="AC201" s="35"/>
      <c r="AD201" s="35"/>
    </row>
    <row r="202" spans="1:30" x14ac:dyDescent="0.2">
      <c r="A202" s="18"/>
      <c r="B202" s="3" t="s">
        <v>141</v>
      </c>
      <c r="C202" s="9"/>
      <c r="D202" s="21" t="s">
        <v>57</v>
      </c>
      <c r="E202" s="21" t="s">
        <v>57</v>
      </c>
      <c r="F202" s="21" t="s">
        <v>57</v>
      </c>
      <c r="G202" s="21"/>
      <c r="H202" s="21" t="s">
        <v>57</v>
      </c>
      <c r="I202" s="21" t="s">
        <v>57</v>
      </c>
      <c r="J202" s="21" t="s">
        <v>57</v>
      </c>
      <c r="K202" s="21" t="s">
        <v>57</v>
      </c>
      <c r="L202" s="21" t="s">
        <v>57</v>
      </c>
      <c r="M202" s="21"/>
      <c r="N202" s="21" t="s">
        <v>57</v>
      </c>
      <c r="O202" s="21" t="s">
        <v>57</v>
      </c>
      <c r="P202" s="21" t="s">
        <v>57</v>
      </c>
      <c r="Q202" s="21"/>
      <c r="R202" s="21" t="s">
        <v>57</v>
      </c>
      <c r="S202" s="21" t="s">
        <v>57</v>
      </c>
      <c r="T202" s="21" t="s">
        <v>57</v>
      </c>
      <c r="U202" s="21" t="s">
        <v>57</v>
      </c>
      <c r="V202" s="21" t="s">
        <v>57</v>
      </c>
      <c r="W202" s="21"/>
      <c r="X202" s="21" t="s">
        <v>57</v>
      </c>
      <c r="Y202" s="21" t="s">
        <v>57</v>
      </c>
      <c r="Z202" s="21" t="s">
        <v>57</v>
      </c>
      <c r="AA202" s="21" t="s">
        <v>57</v>
      </c>
      <c r="AB202" s="40" t="s">
        <v>118</v>
      </c>
      <c r="AC202" s="40"/>
      <c r="AD202" s="40"/>
    </row>
    <row r="203" spans="1:30" ht="15.75" thickBot="1" x14ac:dyDescent="0.25">
      <c r="A203" s="18"/>
      <c r="B203" s="22" t="s">
        <v>58</v>
      </c>
      <c r="C203" s="9"/>
      <c r="D203" s="23">
        <f>1721187/1000</f>
        <v>1721.1869999999999</v>
      </c>
      <c r="E203" s="19">
        <f>[1]TOBEPAID!E152/1000</f>
        <v>0</v>
      </c>
      <c r="F203" s="19">
        <f>[1]TOBEPAID!F152/1000</f>
        <v>0</v>
      </c>
      <c r="G203" s="19">
        <f>[1]TOBEPAID!G152/1000</f>
        <v>0</v>
      </c>
      <c r="H203" s="19"/>
      <c r="I203" s="19">
        <f>[1]TOBEPAID!I152/1000</f>
        <v>0</v>
      </c>
      <c r="J203" s="19">
        <f>[1]TOBEPAID!J152/1000</f>
        <v>0</v>
      </c>
      <c r="K203" s="19">
        <f>[1]TOBEPAID!K152/1000</f>
        <v>0</v>
      </c>
      <c r="L203" s="19">
        <f>[1]TOBEPAID!L152/1000</f>
        <v>0</v>
      </c>
      <c r="M203" s="19">
        <f>[1]TOBEPAID!M152/1000</f>
        <v>0</v>
      </c>
      <c r="N203" s="19">
        <f>[1]TOBEPAID!N152/1000</f>
        <v>0</v>
      </c>
      <c r="O203" s="19">
        <f>[1]TOBEPAID!O152/1000</f>
        <v>1439.8813900000002</v>
      </c>
      <c r="P203" s="19">
        <f>[1]TOBEPAID!P152/1000</f>
        <v>0</v>
      </c>
      <c r="Q203" s="19">
        <f>[1]TOBEPAID!Q152/1000</f>
        <v>0</v>
      </c>
      <c r="R203" s="23">
        <f>+D203</f>
        <v>1721.1869999999999</v>
      </c>
      <c r="S203" s="19">
        <f>[1]TOBEPAID!S152/1000</f>
        <v>0</v>
      </c>
      <c r="T203" s="19">
        <f>[1]TOBEPAID!T152/1000</f>
        <v>0</v>
      </c>
      <c r="U203" s="19">
        <f>[1]TOBEPAID!U152/1000</f>
        <v>0</v>
      </c>
      <c r="V203" s="19">
        <f>[1]TOBEPAID!V152/1000</f>
        <v>0</v>
      </c>
      <c r="W203" s="19">
        <f>[1]TOBEPAID!W152/1000</f>
        <v>0</v>
      </c>
      <c r="X203" s="19">
        <f>[1]TOBEPAID!X152/1000</f>
        <v>0</v>
      </c>
      <c r="Y203" s="23">
        <f>+H203+R203</f>
        <v>1721.1869999999999</v>
      </c>
      <c r="Z203" s="23">
        <f>[1]TOBEPAID!Z152/1000</f>
        <v>0</v>
      </c>
      <c r="AA203" s="19">
        <f>[1]TOBEPAID!AA152/1000</f>
        <v>0</v>
      </c>
      <c r="AB203" s="19">
        <f>[1]TOBEPAID!AB152/1000</f>
        <v>0</v>
      </c>
      <c r="AC203" s="19"/>
      <c r="AD203" s="19"/>
    </row>
    <row r="204" spans="1:30" ht="15.75" thickTop="1" x14ac:dyDescent="0.2">
      <c r="A204" s="18">
        <v>14</v>
      </c>
      <c r="B204" s="17" t="s">
        <v>142</v>
      </c>
      <c r="C204" s="17" t="s">
        <v>51</v>
      </c>
      <c r="D204" s="19">
        <f>42587863/1000</f>
        <v>42587.862999999998</v>
      </c>
      <c r="E204" s="19">
        <f>[1]TOBEPAID!E153/1000</f>
        <v>0</v>
      </c>
      <c r="F204" s="19">
        <f>[1]TOBEPAID!F153/1000</f>
        <v>0</v>
      </c>
      <c r="G204" s="19">
        <f>[1]TOBEPAID!G153/1000</f>
        <v>0</v>
      </c>
      <c r="H204" s="19">
        <f>39494676/1000</f>
        <v>39494.675999999999</v>
      </c>
      <c r="I204" s="19">
        <f>[1]TOBEPAID!I153/1000</f>
        <v>0</v>
      </c>
      <c r="J204" s="19">
        <f>[1]TOBEPAID!J153/1000</f>
        <v>0</v>
      </c>
      <c r="K204" s="19">
        <f>[1]TOBEPAID!K153/1000</f>
        <v>0</v>
      </c>
      <c r="L204" s="19">
        <f>[1]TOBEPAID!L153/1000</f>
        <v>0</v>
      </c>
      <c r="M204" s="19">
        <f>[1]TOBEPAID!M153/1000</f>
        <v>0</v>
      </c>
      <c r="N204" s="19">
        <f>[1]TOBEPAID!N153/1000</f>
        <v>0</v>
      </c>
      <c r="O204" s="19">
        <f>[1]TOBEPAID!O153/1000</f>
        <v>2738.4478199999999</v>
      </c>
      <c r="P204" s="19">
        <f>[1]TOBEPAID!P153/1000</f>
        <v>0</v>
      </c>
      <c r="Q204" s="19">
        <f>[1]TOBEPAID!Q153/1000</f>
        <v>0</v>
      </c>
      <c r="R204" s="19">
        <f>3433186/1000</f>
        <v>3433.1860000000001</v>
      </c>
      <c r="S204" s="19">
        <f>[1]TOBEPAID!S153/1000</f>
        <v>0</v>
      </c>
      <c r="T204" s="19">
        <f>[1]TOBEPAID!T153/1000</f>
        <v>0</v>
      </c>
      <c r="U204" s="19">
        <f>[1]TOBEPAID!U153/1000</f>
        <v>0</v>
      </c>
      <c r="V204" s="19">
        <f>[1]TOBEPAID!V153/1000</f>
        <v>0</v>
      </c>
      <c r="W204" s="19">
        <f>[1]TOBEPAID!W153/1000</f>
        <v>0</v>
      </c>
      <c r="X204" s="19">
        <f>[1]TOBEPAID!X153/1000</f>
        <v>2738.4478199999999</v>
      </c>
      <c r="Y204" s="19">
        <f>+H204+R204</f>
        <v>42927.862000000001</v>
      </c>
      <c r="Z204" s="19">
        <f>+D204-Y204</f>
        <v>-339.99900000000343</v>
      </c>
      <c r="AA204" s="19">
        <f>[1]TOBEPAID!AA153/1000</f>
        <v>0</v>
      </c>
      <c r="AB204" s="19">
        <f>[1]TOBEPAID!AB153/1000</f>
        <v>6862.3427699999957</v>
      </c>
      <c r="AC204" s="19" t="s">
        <v>116</v>
      </c>
      <c r="AD204" s="19"/>
    </row>
    <row r="205" spans="1:30" x14ac:dyDescent="0.2">
      <c r="A205" s="18"/>
      <c r="B205" s="17"/>
      <c r="C205" s="9" t="s">
        <v>52</v>
      </c>
      <c r="D205" s="19">
        <f>1830380/1000</f>
        <v>1830.38</v>
      </c>
      <c r="E205" s="19">
        <f>[1]TOBEPAID!E154/1000</f>
        <v>1830.38</v>
      </c>
      <c r="F205" s="19">
        <f>[1]TOBEPAID!F154/1000</f>
        <v>0</v>
      </c>
      <c r="G205" s="19">
        <f>[1]TOBEPAID!G154/1000</f>
        <v>0</v>
      </c>
      <c r="H205" s="19">
        <f>1830380/1000</f>
        <v>1830.38</v>
      </c>
      <c r="I205" s="19">
        <f>[1]TOBEPAID!I154/1000</f>
        <v>0</v>
      </c>
      <c r="J205" s="19">
        <f>[1]TOBEPAID!J154/1000</f>
        <v>0</v>
      </c>
      <c r="K205" s="19">
        <f>[1]TOBEPAID!K154/1000</f>
        <v>0</v>
      </c>
      <c r="L205" s="19">
        <f>[1]TOBEPAID!L154/1000</f>
        <v>0</v>
      </c>
      <c r="M205" s="19">
        <f>[1]TOBEPAID!M154/1000</f>
        <v>0</v>
      </c>
      <c r="N205" s="19">
        <f>[1]TOBEPAID!N154/1000</f>
        <v>1830.38</v>
      </c>
      <c r="O205" s="19">
        <f>[1]TOBEPAID!O154/1000</f>
        <v>0</v>
      </c>
      <c r="P205" s="19">
        <f>[1]TOBEPAID!P154/1000</f>
        <v>0</v>
      </c>
      <c r="Q205" s="19">
        <f>[1]TOBEPAID!Q154/1000</f>
        <v>0</v>
      </c>
      <c r="R205" s="19">
        <v>0</v>
      </c>
      <c r="S205" s="19">
        <f>[1]TOBEPAID!S154/1000</f>
        <v>0</v>
      </c>
      <c r="T205" s="19">
        <f>[1]TOBEPAID!T154/1000</f>
        <v>0</v>
      </c>
      <c r="U205" s="19">
        <f>[1]TOBEPAID!U154/1000</f>
        <v>0</v>
      </c>
      <c r="V205" s="19">
        <f>[1]TOBEPAID!V154/1000</f>
        <v>0</v>
      </c>
      <c r="W205" s="19">
        <f>[1]TOBEPAID!W154/1000</f>
        <v>0</v>
      </c>
      <c r="X205" s="19">
        <f>[1]TOBEPAID!X154/1000</f>
        <v>0</v>
      </c>
      <c r="Y205" s="19">
        <f t="shared" ref="Y205:Y215" si="35">+H205+R205</f>
        <v>1830.38</v>
      </c>
      <c r="Z205" s="19">
        <f>+D205-Y205</f>
        <v>0</v>
      </c>
      <c r="AA205" s="19">
        <f>[1]TOBEPAID!AA154/1000</f>
        <v>0</v>
      </c>
      <c r="AB205" s="19">
        <f>[1]TOBEPAID!AB154/1000</f>
        <v>0</v>
      </c>
      <c r="AC205" s="19"/>
      <c r="AD205" s="19"/>
    </row>
    <row r="206" spans="1:30" x14ac:dyDescent="0.2">
      <c r="A206" s="18"/>
      <c r="B206" s="17"/>
      <c r="C206" s="9" t="s">
        <v>96</v>
      </c>
      <c r="D206" s="19">
        <f>29103284/1000</f>
        <v>29103.284</v>
      </c>
      <c r="E206" s="19">
        <f>[1]TOBEPAID!E155/1000</f>
        <v>0</v>
      </c>
      <c r="F206" s="19">
        <f>[1]TOBEPAID!F155/1000</f>
        <v>0</v>
      </c>
      <c r="G206" s="19">
        <f>[1]TOBEPAID!G155/1000</f>
        <v>0</v>
      </c>
      <c r="H206" s="19">
        <v>0</v>
      </c>
      <c r="I206" s="19">
        <f>[1]TOBEPAID!I155/1000</f>
        <v>0</v>
      </c>
      <c r="J206" s="19">
        <f>[1]TOBEPAID!J155/1000</f>
        <v>0</v>
      </c>
      <c r="K206" s="19">
        <f>[1]TOBEPAID!K155/1000</f>
        <v>0</v>
      </c>
      <c r="L206" s="19">
        <f>[1]TOBEPAID!L155/1000</f>
        <v>0</v>
      </c>
      <c r="M206" s="19">
        <f>[1]TOBEPAID!M155/1000</f>
        <v>0</v>
      </c>
      <c r="N206" s="19">
        <f>[1]TOBEPAID!N155/1000</f>
        <v>0</v>
      </c>
      <c r="O206" s="19">
        <f>[1]TOBEPAID!O155/1000</f>
        <v>29103.284929999998</v>
      </c>
      <c r="P206" s="19">
        <f>[1]TOBEPAID!P155/1000</f>
        <v>0</v>
      </c>
      <c r="Q206" s="19">
        <f>[1]TOBEPAID!Q155/1000</f>
        <v>0</v>
      </c>
      <c r="R206" s="19">
        <f>29103284/1000</f>
        <v>29103.284</v>
      </c>
      <c r="S206" s="19">
        <f>[1]TOBEPAID!S155/1000</f>
        <v>0</v>
      </c>
      <c r="T206" s="19">
        <f>[1]TOBEPAID!T155/1000</f>
        <v>0</v>
      </c>
      <c r="U206" s="19">
        <f>[1]TOBEPAID!U155/1000</f>
        <v>0</v>
      </c>
      <c r="V206" s="19">
        <f>[1]TOBEPAID!V155/1000</f>
        <v>0</v>
      </c>
      <c r="W206" s="19">
        <f>[1]TOBEPAID!W155/1000</f>
        <v>0</v>
      </c>
      <c r="X206" s="19">
        <f>[1]TOBEPAID!X155/1000</f>
        <v>29103.284929999998</v>
      </c>
      <c r="Y206" s="19">
        <f t="shared" si="35"/>
        <v>29103.284</v>
      </c>
      <c r="Z206" s="19">
        <f>+D206-Y206</f>
        <v>0</v>
      </c>
      <c r="AA206" s="19">
        <f>[1]TOBEPAID!AA155/1000</f>
        <v>0</v>
      </c>
      <c r="AB206" s="19">
        <f>[1]TOBEPAID!AB155/1000</f>
        <v>0</v>
      </c>
      <c r="AC206" s="19"/>
      <c r="AD206" s="19"/>
    </row>
    <row r="207" spans="1:30" x14ac:dyDescent="0.2">
      <c r="A207" s="18"/>
      <c r="B207" s="22"/>
      <c r="C207" s="17" t="s">
        <v>97</v>
      </c>
      <c r="D207" s="19">
        <f>10700263/1000</f>
        <v>10700.263000000001</v>
      </c>
      <c r="E207" s="19">
        <f>[1]TOBEPAID!E156/1000</f>
        <v>0</v>
      </c>
      <c r="F207" s="19">
        <f>[1]TOBEPAID!F156/1000</f>
        <v>0</v>
      </c>
      <c r="G207" s="19">
        <f>[1]TOBEPAID!G156/1000</f>
        <v>0</v>
      </c>
      <c r="H207" s="19">
        <v>0</v>
      </c>
      <c r="I207" s="19">
        <f>[1]TOBEPAID!I156/1000</f>
        <v>0</v>
      </c>
      <c r="J207" s="19">
        <f>[1]TOBEPAID!J156/1000</f>
        <v>0</v>
      </c>
      <c r="K207" s="19">
        <f>[1]TOBEPAID!K156/1000</f>
        <v>0</v>
      </c>
      <c r="L207" s="19">
        <f>[1]TOBEPAID!L156/1000</f>
        <v>0</v>
      </c>
      <c r="M207" s="19">
        <f>[1]TOBEPAID!M156/1000</f>
        <v>0</v>
      </c>
      <c r="N207" s="19">
        <f>[1]TOBEPAID!N156/1000</f>
        <v>0</v>
      </c>
      <c r="O207" s="19">
        <f>[1]TOBEPAID!O156/1000</f>
        <v>10700.26303</v>
      </c>
      <c r="P207" s="19">
        <f>[1]TOBEPAID!P156/1000</f>
        <v>0</v>
      </c>
      <c r="Q207" s="19">
        <f>[1]TOBEPAID!Q156/1000</f>
        <v>0</v>
      </c>
      <c r="R207" s="19">
        <f>10700263.03/1000</f>
        <v>10700.26303</v>
      </c>
      <c r="S207" s="19">
        <f>[1]TOBEPAID!S156/1000</f>
        <v>0</v>
      </c>
      <c r="T207" s="19">
        <f>[1]TOBEPAID!T156/1000</f>
        <v>0</v>
      </c>
      <c r="U207" s="19">
        <f>[1]TOBEPAID!U156/1000</f>
        <v>0</v>
      </c>
      <c r="V207" s="19">
        <f>[1]TOBEPAID!V156/1000</f>
        <v>0</v>
      </c>
      <c r="W207" s="19">
        <f>[1]TOBEPAID!W156/1000</f>
        <v>0</v>
      </c>
      <c r="X207" s="19">
        <f>[1]TOBEPAID!X156/1000</f>
        <v>10700.26303</v>
      </c>
      <c r="Y207" s="19">
        <f t="shared" si="35"/>
        <v>10700.26303</v>
      </c>
      <c r="Z207" s="19">
        <f>+Y207-D207</f>
        <v>2.9999999242136255E-5</v>
      </c>
      <c r="AA207" s="19">
        <f>[1]TOBEPAID!AA156/1000</f>
        <v>0</v>
      </c>
      <c r="AB207" s="19">
        <f>[1]TOBEPAID!AB156/1000</f>
        <v>0</v>
      </c>
      <c r="AC207" s="19"/>
      <c r="AD207" s="19"/>
    </row>
    <row r="208" spans="1:30" x14ac:dyDescent="0.2">
      <c r="C208" s="9" t="s">
        <v>53</v>
      </c>
      <c r="D208" s="19">
        <f>11212250/1000</f>
        <v>11212.25</v>
      </c>
      <c r="E208" s="19">
        <f>[1]TOBEPAID!E157/1000</f>
        <v>11212.25</v>
      </c>
      <c r="F208" s="19">
        <f>[1]TOBEPAID!F157/1000</f>
        <v>0</v>
      </c>
      <c r="G208" s="19">
        <f>[1]TOBEPAID!G157/1000</f>
        <v>0</v>
      </c>
      <c r="H208" s="19">
        <f>11212250/1000</f>
        <v>11212.25</v>
      </c>
      <c r="I208" s="19">
        <f>[1]TOBEPAID!I157/1000</f>
        <v>0</v>
      </c>
      <c r="J208" s="19">
        <f>[1]TOBEPAID!J157/1000</f>
        <v>0</v>
      </c>
      <c r="K208" s="19">
        <f>[1]TOBEPAID!K157/1000</f>
        <v>0</v>
      </c>
      <c r="L208" s="19">
        <f>[1]TOBEPAID!L157/1000</f>
        <v>0</v>
      </c>
      <c r="M208" s="19">
        <f>[1]TOBEPAID!M157/1000</f>
        <v>0</v>
      </c>
      <c r="N208" s="19">
        <f>[1]TOBEPAID!N157/1000</f>
        <v>11212.25</v>
      </c>
      <c r="O208" s="19">
        <f>[1]TOBEPAID!O157/1000</f>
        <v>0</v>
      </c>
      <c r="P208" s="19">
        <f>[1]TOBEPAID!P157/1000</f>
        <v>0</v>
      </c>
      <c r="Q208" s="19">
        <f>[1]TOBEPAID!Q157/1000</f>
        <v>0</v>
      </c>
      <c r="R208" s="19">
        <v>0</v>
      </c>
      <c r="S208" s="19">
        <f>[1]TOBEPAID!S157/1000</f>
        <v>0</v>
      </c>
      <c r="T208" s="19">
        <f>[1]TOBEPAID!T157/1000</f>
        <v>0</v>
      </c>
      <c r="U208" s="19">
        <f>[1]TOBEPAID!U157/1000</f>
        <v>0</v>
      </c>
      <c r="V208" s="19">
        <f>[1]TOBEPAID!V157/1000</f>
        <v>0</v>
      </c>
      <c r="W208" s="19">
        <f>[1]TOBEPAID!W157/1000</f>
        <v>0</v>
      </c>
      <c r="X208" s="19">
        <f>[1]TOBEPAID!X157/1000</f>
        <v>0</v>
      </c>
      <c r="Y208" s="19">
        <f t="shared" si="35"/>
        <v>11212.25</v>
      </c>
      <c r="Z208" s="19">
        <f t="shared" ref="Z208:Z213" si="36">+D208-Y208</f>
        <v>0</v>
      </c>
      <c r="AA208" s="19">
        <f>[1]TOBEPAID!AA157/1000</f>
        <v>0</v>
      </c>
      <c r="AB208" s="19">
        <f>[1]TOBEPAID!AB157/1000</f>
        <v>0</v>
      </c>
      <c r="AC208" s="19"/>
      <c r="AD208" s="19"/>
    </row>
    <row r="209" spans="1:30" x14ac:dyDescent="0.2">
      <c r="C209" s="9" t="s">
        <v>76</v>
      </c>
      <c r="D209" s="19">
        <f>11000000/1000</f>
        <v>11000</v>
      </c>
      <c r="E209" s="19"/>
      <c r="F209" s="19"/>
      <c r="G209" s="19"/>
      <c r="H209" s="19">
        <f>11000000/1000</f>
        <v>11000</v>
      </c>
      <c r="I209" s="19"/>
      <c r="J209" s="19"/>
      <c r="K209" s="19"/>
      <c r="L209" s="19"/>
      <c r="M209" s="19"/>
      <c r="N209" s="19"/>
      <c r="O209" s="19"/>
      <c r="P209" s="19"/>
      <c r="Q209" s="19"/>
      <c r="R209" s="19">
        <v>0</v>
      </c>
      <c r="S209" s="19"/>
      <c r="T209" s="19"/>
      <c r="U209" s="19"/>
      <c r="V209" s="19"/>
      <c r="W209" s="19"/>
      <c r="X209" s="19"/>
      <c r="Y209" s="19">
        <f t="shared" si="35"/>
        <v>11000</v>
      </c>
      <c r="Z209" s="19">
        <f t="shared" si="36"/>
        <v>0</v>
      </c>
      <c r="AA209" s="19"/>
      <c r="AB209" s="19"/>
      <c r="AC209" s="19"/>
      <c r="AD209" s="19"/>
    </row>
    <row r="210" spans="1:30" x14ac:dyDescent="0.2">
      <c r="C210" s="9" t="s">
        <v>143</v>
      </c>
      <c r="D210" s="19">
        <f>50000000/1000</f>
        <v>50000</v>
      </c>
      <c r="E210" s="19"/>
      <c r="F210" s="19"/>
      <c r="G210" s="19"/>
      <c r="H210" s="19">
        <f>D210</f>
        <v>50000</v>
      </c>
      <c r="I210" s="19"/>
      <c r="J210" s="19"/>
      <c r="K210" s="19"/>
      <c r="L210" s="19"/>
      <c r="M210" s="19"/>
      <c r="N210" s="19"/>
      <c r="O210" s="19"/>
      <c r="P210" s="19"/>
      <c r="Q210" s="19"/>
      <c r="R210" s="19">
        <v>0</v>
      </c>
      <c r="S210" s="19"/>
      <c r="T210" s="19"/>
      <c r="U210" s="19"/>
      <c r="V210" s="19"/>
      <c r="W210" s="19"/>
      <c r="X210" s="19"/>
      <c r="Y210" s="19">
        <f t="shared" si="35"/>
        <v>50000</v>
      </c>
      <c r="Z210" s="19">
        <f t="shared" si="36"/>
        <v>0</v>
      </c>
      <c r="AA210" s="19"/>
      <c r="AB210" s="19"/>
      <c r="AC210" s="19"/>
      <c r="AD210" s="19"/>
    </row>
    <row r="211" spans="1:30" x14ac:dyDescent="0.2">
      <c r="C211" s="3" t="s">
        <v>144</v>
      </c>
      <c r="D211" s="19">
        <f>7000000/1000</f>
        <v>7000</v>
      </c>
      <c r="E211" s="19"/>
      <c r="F211" s="19"/>
      <c r="G211" s="19"/>
      <c r="H211" s="19">
        <f>7000000/1000</f>
        <v>7000</v>
      </c>
      <c r="I211" s="19"/>
      <c r="J211" s="19"/>
      <c r="K211" s="19"/>
      <c r="L211" s="19"/>
      <c r="M211" s="19"/>
      <c r="N211" s="19"/>
      <c r="O211" s="19"/>
      <c r="P211" s="19"/>
      <c r="Q211" s="19"/>
      <c r="R211" s="19">
        <v>0</v>
      </c>
      <c r="S211" s="19"/>
      <c r="T211" s="19"/>
      <c r="U211" s="19"/>
      <c r="V211" s="19"/>
      <c r="W211" s="19"/>
      <c r="X211" s="19"/>
      <c r="Y211" s="19">
        <f t="shared" si="35"/>
        <v>7000</v>
      </c>
      <c r="Z211" s="19">
        <f t="shared" si="36"/>
        <v>0</v>
      </c>
      <c r="AA211" s="19"/>
      <c r="AB211" s="19"/>
      <c r="AC211" s="19"/>
      <c r="AD211" s="19"/>
    </row>
    <row r="212" spans="1:30" x14ac:dyDescent="0.2">
      <c r="C212" s="39" t="s">
        <v>145</v>
      </c>
      <c r="D212" s="19">
        <f>10000000/1000</f>
        <v>10000</v>
      </c>
      <c r="E212" s="19"/>
      <c r="F212" s="19"/>
      <c r="G212" s="19"/>
      <c r="H212" s="19">
        <f>10000000/1000</f>
        <v>10000</v>
      </c>
      <c r="I212" s="19"/>
      <c r="J212" s="19"/>
      <c r="K212" s="19"/>
      <c r="L212" s="19"/>
      <c r="M212" s="19"/>
      <c r="N212" s="19"/>
      <c r="O212" s="19"/>
      <c r="P212" s="19"/>
      <c r="Q212" s="19"/>
      <c r="R212" s="19">
        <v>0</v>
      </c>
      <c r="S212" s="19"/>
      <c r="T212" s="19"/>
      <c r="U212" s="19"/>
      <c r="V212" s="19"/>
      <c r="W212" s="19"/>
      <c r="X212" s="19"/>
      <c r="Y212" s="19">
        <f t="shared" si="35"/>
        <v>10000</v>
      </c>
      <c r="Z212" s="19">
        <f t="shared" si="36"/>
        <v>0</v>
      </c>
      <c r="AA212" s="19"/>
      <c r="AB212" s="19"/>
      <c r="AC212" s="19"/>
      <c r="AD212" s="19"/>
    </row>
    <row r="213" spans="1:30" x14ac:dyDescent="0.2">
      <c r="C213" s="9" t="s">
        <v>67</v>
      </c>
      <c r="D213" s="19">
        <f>1585000000/1000</f>
        <v>1585000</v>
      </c>
      <c r="E213" s="19">
        <f>[1]TOBEPAID!E158/1000</f>
        <v>280000</v>
      </c>
      <c r="F213" s="19">
        <f>[1]TOBEPAID!F158/1000</f>
        <v>30000</v>
      </c>
      <c r="G213" s="19">
        <f>[1]TOBEPAID!G158/1000</f>
        <v>0</v>
      </c>
      <c r="H213" s="19">
        <f>1585000000/1000</f>
        <v>1585000</v>
      </c>
      <c r="I213" s="19">
        <f>[1]TOBEPAID!I158/1000</f>
        <v>0</v>
      </c>
      <c r="J213" s="19">
        <f>[1]TOBEPAID!J158/1000</f>
        <v>0</v>
      </c>
      <c r="K213" s="19">
        <f>[1]TOBEPAID!K158/1000</f>
        <v>0</v>
      </c>
      <c r="L213" s="19">
        <f>[1]TOBEPAID!L158/1000</f>
        <v>0</v>
      </c>
      <c r="M213" s="19">
        <f>[1]TOBEPAID!M158/1000</f>
        <v>0</v>
      </c>
      <c r="N213" s="19">
        <f>[1]TOBEPAID!N158/1000</f>
        <v>310000</v>
      </c>
      <c r="O213" s="19">
        <f>[1]TOBEPAID!O158/1000</f>
        <v>0</v>
      </c>
      <c r="P213" s="19">
        <f>[1]TOBEPAID!P158/1000</f>
        <v>0</v>
      </c>
      <c r="Q213" s="19">
        <f>[1]TOBEPAID!Q158/1000</f>
        <v>0</v>
      </c>
      <c r="R213" s="19">
        <v>0</v>
      </c>
      <c r="S213" s="19">
        <f>[1]TOBEPAID!S158/1000</f>
        <v>0</v>
      </c>
      <c r="T213" s="19">
        <f>[1]TOBEPAID!T158/1000</f>
        <v>0</v>
      </c>
      <c r="U213" s="19">
        <f>[1]TOBEPAID!U158/1000</f>
        <v>0</v>
      </c>
      <c r="V213" s="19">
        <f>[1]TOBEPAID!V158/1000</f>
        <v>0</v>
      </c>
      <c r="W213" s="19">
        <f>[1]TOBEPAID!W158/1000</f>
        <v>0</v>
      </c>
      <c r="X213" s="19">
        <f>[1]TOBEPAID!X158/1000</f>
        <v>0</v>
      </c>
      <c r="Y213" s="19">
        <f t="shared" si="35"/>
        <v>1585000</v>
      </c>
      <c r="Z213" s="19">
        <f t="shared" si="36"/>
        <v>0</v>
      </c>
      <c r="AA213" s="19">
        <f>[1]TOBEPAID!AA158/1000</f>
        <v>0</v>
      </c>
      <c r="AB213" s="19">
        <f>[1]TOBEPAID!AB158/1000</f>
        <v>0</v>
      </c>
      <c r="AC213" s="19"/>
      <c r="AD213" s="19"/>
    </row>
    <row r="214" spans="1:30" x14ac:dyDescent="0.2">
      <c r="C214" s="9" t="s">
        <v>128</v>
      </c>
      <c r="D214" s="19">
        <f>13940000/1000</f>
        <v>13940</v>
      </c>
      <c r="E214" s="19"/>
      <c r="F214" s="19"/>
      <c r="G214" s="19"/>
      <c r="H214" s="19">
        <f>13940400/1000</f>
        <v>13940.4</v>
      </c>
      <c r="I214" s="19"/>
      <c r="J214" s="19"/>
      <c r="K214" s="19"/>
      <c r="L214" s="19"/>
      <c r="M214" s="19"/>
      <c r="N214" s="19"/>
      <c r="O214" s="19"/>
      <c r="P214" s="19"/>
      <c r="Q214" s="19"/>
      <c r="R214" s="19">
        <v>0</v>
      </c>
      <c r="S214" s="19"/>
      <c r="T214" s="19"/>
      <c r="U214" s="19"/>
      <c r="V214" s="19"/>
      <c r="W214" s="19"/>
      <c r="X214" s="19"/>
      <c r="Y214" s="19">
        <f t="shared" si="35"/>
        <v>13940.4</v>
      </c>
      <c r="Z214" s="19">
        <f>+Y214-H214</f>
        <v>0</v>
      </c>
      <c r="AA214" s="19"/>
      <c r="AB214" s="19"/>
      <c r="AC214" s="19"/>
      <c r="AD214" s="19"/>
    </row>
    <row r="215" spans="1:30" x14ac:dyDescent="0.2">
      <c r="A215" s="18"/>
      <c r="B215" s="22"/>
      <c r="C215" s="17" t="s">
        <v>117</v>
      </c>
      <c r="D215" s="19">
        <f>5000000/1000</f>
        <v>5000</v>
      </c>
      <c r="E215" s="19">
        <f>[1]TOBEPAID!E159/1000</f>
        <v>5000</v>
      </c>
      <c r="F215" s="19">
        <f>[1]TOBEPAID!F159/1000</f>
        <v>0</v>
      </c>
      <c r="G215" s="19">
        <f>[1]TOBEPAID!G159/1000</f>
        <v>0</v>
      </c>
      <c r="H215" s="19">
        <f>5000000/1000</f>
        <v>5000</v>
      </c>
      <c r="I215" s="19">
        <f>[1]TOBEPAID!I159/1000</f>
        <v>0</v>
      </c>
      <c r="J215" s="19">
        <f>[1]TOBEPAID!J159/1000</f>
        <v>0</v>
      </c>
      <c r="K215" s="19">
        <f>[1]TOBEPAID!K159/1000</f>
        <v>0</v>
      </c>
      <c r="L215" s="19">
        <f>[1]TOBEPAID!L159/1000</f>
        <v>0</v>
      </c>
      <c r="M215" s="19">
        <f>[1]TOBEPAID!M159/1000</f>
        <v>0</v>
      </c>
      <c r="N215" s="19">
        <f>[1]TOBEPAID!N159/1000</f>
        <v>5000</v>
      </c>
      <c r="O215" s="19">
        <f>[1]TOBEPAID!O159/1000</f>
        <v>0</v>
      </c>
      <c r="P215" s="19">
        <f>[1]TOBEPAID!P159/1000</f>
        <v>0</v>
      </c>
      <c r="Q215" s="19">
        <f>[1]TOBEPAID!Q159/1000</f>
        <v>0</v>
      </c>
      <c r="R215" s="19">
        <v>0</v>
      </c>
      <c r="S215" s="19">
        <f>[1]TOBEPAID!S159/1000</f>
        <v>0</v>
      </c>
      <c r="T215" s="19">
        <f>[1]TOBEPAID!T159/1000</f>
        <v>0</v>
      </c>
      <c r="U215" s="19">
        <f>[1]TOBEPAID!U159/1000</f>
        <v>0</v>
      </c>
      <c r="V215" s="19">
        <f>[1]TOBEPAID!V159/1000</f>
        <v>0</v>
      </c>
      <c r="W215" s="19">
        <f>[1]TOBEPAID!W159/1000</f>
        <v>0</v>
      </c>
      <c r="X215" s="19">
        <f>[1]TOBEPAID!X159/1000</f>
        <v>0</v>
      </c>
      <c r="Y215" s="19">
        <f t="shared" si="35"/>
        <v>5000</v>
      </c>
      <c r="Z215" s="19">
        <f>+D215-Y215</f>
        <v>0</v>
      </c>
      <c r="AA215" s="19">
        <f>[1]TOBEPAID!AA159/1000</f>
        <v>0</v>
      </c>
      <c r="AB215" s="19">
        <f>[1]TOBEPAID!AB159/1000</f>
        <v>0</v>
      </c>
      <c r="AC215" s="19"/>
      <c r="AD215" s="19"/>
    </row>
    <row r="216" spans="1:30" x14ac:dyDescent="0.2">
      <c r="A216" s="18"/>
      <c r="B216" s="22"/>
      <c r="C216" s="9" t="s">
        <v>119</v>
      </c>
      <c r="D216" s="19">
        <f>1125000/1000</f>
        <v>1125</v>
      </c>
      <c r="E216" s="19">
        <f>[1]TOBEPAID!E160/1000</f>
        <v>0</v>
      </c>
      <c r="F216" s="19">
        <f>[1]TOBEPAID!F160/1000</f>
        <v>0</v>
      </c>
      <c r="G216" s="19">
        <f>[1]TOBEPAID!G160/1000</f>
        <v>0</v>
      </c>
      <c r="H216" s="19">
        <v>0</v>
      </c>
      <c r="I216" s="19">
        <f>[1]TOBEPAID!I160/1000</f>
        <v>0</v>
      </c>
      <c r="J216" s="19">
        <f>[1]TOBEPAID!J160/1000</f>
        <v>0</v>
      </c>
      <c r="K216" s="19">
        <f>[1]TOBEPAID!K160/1000</f>
        <v>0</v>
      </c>
      <c r="L216" s="19">
        <f>[1]TOBEPAID!L160/1000</f>
        <v>0</v>
      </c>
      <c r="M216" s="19">
        <f>[1]TOBEPAID!M160/1000</f>
        <v>0</v>
      </c>
      <c r="N216" s="19">
        <f>[1]TOBEPAID!N160/1000</f>
        <v>0</v>
      </c>
      <c r="O216" s="19">
        <f>[1]TOBEPAID!O160/1000</f>
        <v>0</v>
      </c>
      <c r="P216" s="19">
        <f>[1]TOBEPAID!P160/1000</f>
        <v>0</v>
      </c>
      <c r="Q216" s="19">
        <f>[1]TOBEPAID!Q160/1000</f>
        <v>0</v>
      </c>
      <c r="R216" s="19">
        <v>0</v>
      </c>
      <c r="S216" s="19">
        <f>[1]TOBEPAID!S160/1000</f>
        <v>0</v>
      </c>
      <c r="T216" s="19">
        <f>[1]TOBEPAID!T160/1000</f>
        <v>0</v>
      </c>
      <c r="U216" s="19">
        <f>[1]TOBEPAID!U160/1000</f>
        <v>0</v>
      </c>
      <c r="V216" s="19">
        <f>[1]TOBEPAID!V160/1000</f>
        <v>0</v>
      </c>
      <c r="W216" s="19">
        <f>[1]TOBEPAID!W160/1000</f>
        <v>0</v>
      </c>
      <c r="X216" s="19">
        <f>[1]TOBEPAID!X160/1000</f>
        <v>0</v>
      </c>
      <c r="Y216" s="19">
        <f>[1]TOBEPAID!Y160/1000</f>
        <v>0</v>
      </c>
      <c r="Z216" s="19">
        <f>[1]TOBEPAID!Z160/1000</f>
        <v>1125</v>
      </c>
      <c r="AA216" s="19">
        <f>[1]TOBEPAID!AA160/1000</f>
        <v>0</v>
      </c>
      <c r="AB216" s="19">
        <f>[1]TOBEPAID!AB160/1000</f>
        <v>1125</v>
      </c>
      <c r="AC216" s="19"/>
      <c r="AD216" s="19"/>
    </row>
    <row r="217" spans="1:30" x14ac:dyDescent="0.2">
      <c r="A217" s="18"/>
      <c r="B217" s="22"/>
      <c r="C217" s="45"/>
      <c r="D217" s="21" t="s">
        <v>57</v>
      </c>
      <c r="E217" s="21" t="s">
        <v>57</v>
      </c>
      <c r="F217" s="21" t="s">
        <v>57</v>
      </c>
      <c r="G217" s="21"/>
      <c r="H217" s="21" t="s">
        <v>57</v>
      </c>
      <c r="I217" s="21" t="s">
        <v>57</v>
      </c>
      <c r="J217" s="21" t="s">
        <v>57</v>
      </c>
      <c r="K217" s="21" t="s">
        <v>57</v>
      </c>
      <c r="L217" s="21" t="s">
        <v>57</v>
      </c>
      <c r="M217" s="21"/>
      <c r="N217" s="21" t="s">
        <v>57</v>
      </c>
      <c r="O217" s="21" t="s">
        <v>57</v>
      </c>
      <c r="P217" s="21" t="s">
        <v>57</v>
      </c>
      <c r="Q217" s="21"/>
      <c r="R217" s="21" t="s">
        <v>57</v>
      </c>
      <c r="S217" s="21" t="s">
        <v>57</v>
      </c>
      <c r="T217" s="21" t="s">
        <v>57</v>
      </c>
      <c r="U217" s="21" t="s">
        <v>57</v>
      </c>
      <c r="V217" s="21" t="s">
        <v>57</v>
      </c>
      <c r="W217" s="21"/>
      <c r="X217" s="21" t="s">
        <v>57</v>
      </c>
      <c r="Y217" s="21" t="s">
        <v>57</v>
      </c>
      <c r="Z217" s="21" t="s">
        <v>57</v>
      </c>
      <c r="AA217" s="21" t="s">
        <v>57</v>
      </c>
      <c r="AB217" s="40" t="s">
        <v>118</v>
      </c>
      <c r="AC217" s="40"/>
      <c r="AD217" s="40"/>
    </row>
    <row r="218" spans="1:30" x14ac:dyDescent="0.2">
      <c r="A218" s="18"/>
      <c r="B218" s="17"/>
      <c r="C218" s="9"/>
      <c r="D218" s="46">
        <f>SUM(D204:D216)</f>
        <v>1778499.04</v>
      </c>
      <c r="E218" s="46">
        <f>SUM(E204:E216)</f>
        <v>298042.63</v>
      </c>
      <c r="F218" s="46">
        <f>SUM(F204:F216)</f>
        <v>30000</v>
      </c>
      <c r="G218" s="46"/>
      <c r="H218" s="46">
        <f>SUM(H204:H216)</f>
        <v>1734477.706</v>
      </c>
      <c r="I218" s="46">
        <f>SUM(I204:I216)</f>
        <v>0</v>
      </c>
      <c r="J218" s="46">
        <f>SUM(J204:J216)</f>
        <v>0</v>
      </c>
      <c r="K218" s="46">
        <f>SUM(K204:K216)</f>
        <v>0</v>
      </c>
      <c r="L218" s="46">
        <f>SUM(L204:L216)</f>
        <v>0</v>
      </c>
      <c r="M218" s="46"/>
      <c r="N218" s="46">
        <f>SUM(N204:N216)</f>
        <v>328042.63</v>
      </c>
      <c r="O218" s="46">
        <f>SUM(O204:O216)</f>
        <v>42541.995779999997</v>
      </c>
      <c r="P218" s="46">
        <f>SUM(P204:P216)</f>
        <v>0</v>
      </c>
      <c r="Q218" s="46"/>
      <c r="R218" s="46">
        <f>SUM(R204:R216)</f>
        <v>43236.733030000003</v>
      </c>
      <c r="S218" s="46">
        <f>SUM(S204:S216)</f>
        <v>0</v>
      </c>
      <c r="T218" s="46">
        <f>SUM(T204:T216)</f>
        <v>0</v>
      </c>
      <c r="U218" s="46">
        <f>SUM(U204:U216)</f>
        <v>0</v>
      </c>
      <c r="V218" s="46">
        <f>SUM(V204:V216)</f>
        <v>0</v>
      </c>
      <c r="W218" s="46"/>
      <c r="X218" s="46">
        <f>SUM(X204:X216)</f>
        <v>42541.995779999997</v>
      </c>
      <c r="Y218" s="46">
        <f>SUM(Y204:Y216)</f>
        <v>1777714.43903</v>
      </c>
      <c r="Z218" s="46">
        <f>SUM(Z204:Z216)</f>
        <v>785.00102999999581</v>
      </c>
      <c r="AA218" s="46">
        <f>SUM(AA204:AA216)</f>
        <v>0</v>
      </c>
      <c r="AB218" s="46">
        <f>SUM(AB204:AB216)</f>
        <v>7987.3427699999957</v>
      </c>
      <c r="AC218" s="46"/>
      <c r="AD218" s="46"/>
    </row>
    <row r="219" spans="1:30" x14ac:dyDescent="0.2">
      <c r="A219" s="18"/>
      <c r="B219" s="17"/>
      <c r="C219" s="9"/>
      <c r="D219" s="21" t="s">
        <v>57</v>
      </c>
      <c r="E219" s="21" t="s">
        <v>57</v>
      </c>
      <c r="F219" s="21" t="s">
        <v>57</v>
      </c>
      <c r="G219" s="21"/>
      <c r="H219" s="21" t="s">
        <v>57</v>
      </c>
      <c r="I219" s="21" t="s">
        <v>57</v>
      </c>
      <c r="J219" s="21" t="s">
        <v>57</v>
      </c>
      <c r="K219" s="21" t="s">
        <v>57</v>
      </c>
      <c r="L219" s="21" t="s">
        <v>57</v>
      </c>
      <c r="M219" s="21"/>
      <c r="N219" s="21" t="s">
        <v>57</v>
      </c>
      <c r="O219" s="21" t="s">
        <v>57</v>
      </c>
      <c r="P219" s="21" t="s">
        <v>57</v>
      </c>
      <c r="Q219" s="21"/>
      <c r="R219" s="21" t="s">
        <v>57</v>
      </c>
      <c r="S219" s="21" t="s">
        <v>57</v>
      </c>
      <c r="T219" s="21" t="s">
        <v>57</v>
      </c>
      <c r="U219" s="21" t="s">
        <v>57</v>
      </c>
      <c r="V219" s="21" t="s">
        <v>57</v>
      </c>
      <c r="W219" s="21"/>
      <c r="X219" s="21" t="s">
        <v>57</v>
      </c>
      <c r="Y219" s="21" t="s">
        <v>57</v>
      </c>
      <c r="Z219" s="21" t="s">
        <v>57</v>
      </c>
      <c r="AA219" s="21" t="s">
        <v>57</v>
      </c>
      <c r="AB219" s="40" t="s">
        <v>118</v>
      </c>
      <c r="AC219" s="40"/>
      <c r="AD219" s="40"/>
    </row>
    <row r="220" spans="1:30" ht="15.75" thickBot="1" x14ac:dyDescent="0.25">
      <c r="A220" s="18"/>
      <c r="B220" s="17"/>
      <c r="C220" s="9"/>
      <c r="D220" s="47" t="s">
        <v>146</v>
      </c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21"/>
      <c r="AB220" s="40"/>
      <c r="AC220" s="40"/>
      <c r="AD220" s="40"/>
    </row>
    <row r="221" spans="1:30" ht="15.75" thickTop="1" x14ac:dyDescent="0.2">
      <c r="A221" s="18"/>
      <c r="B221" s="17"/>
      <c r="C221" s="9"/>
      <c r="D221" s="29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40"/>
      <c r="AC221" s="40"/>
      <c r="AD221" s="40"/>
    </row>
    <row r="222" spans="1:30" x14ac:dyDescent="0.2">
      <c r="A222" s="18"/>
      <c r="B222" s="22"/>
      <c r="C222" s="9"/>
      <c r="D222" s="49"/>
      <c r="E222" s="38"/>
      <c r="F222" s="44"/>
      <c r="G222" s="44"/>
      <c r="H222" s="38"/>
      <c r="I222" s="44"/>
      <c r="J222" s="44"/>
      <c r="K222" s="38"/>
      <c r="L222" s="44"/>
      <c r="M222" s="44"/>
      <c r="N222" s="38"/>
      <c r="O222" s="44"/>
      <c r="P222" s="44"/>
      <c r="Q222" s="44"/>
      <c r="R222" s="44"/>
      <c r="S222" s="19"/>
      <c r="T222" s="19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</row>
    <row r="223" spans="1:30" x14ac:dyDescent="0.2">
      <c r="A223" s="18"/>
      <c r="B223" s="22"/>
      <c r="C223" s="9"/>
      <c r="D223" s="49"/>
      <c r="E223" s="38"/>
      <c r="F223" s="44"/>
      <c r="G223" s="44"/>
      <c r="H223" s="38"/>
      <c r="I223" s="44"/>
      <c r="J223" s="44"/>
      <c r="K223" s="38"/>
      <c r="L223" s="44"/>
      <c r="M223" s="44"/>
      <c r="N223" s="38"/>
      <c r="O223" s="44"/>
      <c r="P223" s="44"/>
      <c r="Q223" s="44"/>
      <c r="R223" s="44"/>
      <c r="S223" s="19"/>
      <c r="T223" s="19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</row>
    <row r="224" spans="1:30" x14ac:dyDescent="0.2">
      <c r="A224" s="18">
        <v>15</v>
      </c>
      <c r="B224" s="17" t="s">
        <v>147</v>
      </c>
      <c r="C224" s="17" t="s">
        <v>51</v>
      </c>
      <c r="D224" s="19">
        <v>0</v>
      </c>
      <c r="E224" s="19">
        <f>[1]TOBEPAID!E165/1000</f>
        <v>0</v>
      </c>
      <c r="F224" s="19">
        <f>[1]TOBEPAID!F165/1000</f>
        <v>0</v>
      </c>
      <c r="G224" s="19">
        <f>[1]TOBEPAID!G165/1000</f>
        <v>0</v>
      </c>
      <c r="H224" s="19">
        <v>0</v>
      </c>
      <c r="I224" s="19">
        <f>[1]TOBEPAID!I165/1000</f>
        <v>0</v>
      </c>
      <c r="J224" s="19">
        <f>[1]TOBEPAID!J165/1000</f>
        <v>0</v>
      </c>
      <c r="K224" s="19">
        <f>[1]TOBEPAID!K165/1000</f>
        <v>0</v>
      </c>
      <c r="L224" s="19">
        <f>[1]TOBEPAID!L165/1000</f>
        <v>0</v>
      </c>
      <c r="M224" s="19">
        <f>[1]TOBEPAID!M165/1000</f>
        <v>0</v>
      </c>
      <c r="N224" s="19">
        <f>[1]TOBEPAID!N165/1000</f>
        <v>0</v>
      </c>
      <c r="O224" s="19">
        <f>[1]TOBEPAID!O165/1000</f>
        <v>0</v>
      </c>
      <c r="P224" s="19">
        <f>[1]TOBEPAID!P165/1000</f>
        <v>0</v>
      </c>
      <c r="Q224" s="19">
        <f>[1]TOBEPAID!Q165/1000</f>
        <v>0</v>
      </c>
      <c r="R224" s="19">
        <v>0</v>
      </c>
      <c r="S224" s="19">
        <f>[1]TOBEPAID!S165/1000</f>
        <v>0</v>
      </c>
      <c r="T224" s="19">
        <f>[1]TOBEPAID!T165/1000</f>
        <v>0</v>
      </c>
      <c r="U224" s="19">
        <f>[1]TOBEPAID!U165/1000</f>
        <v>0</v>
      </c>
      <c r="V224" s="19">
        <f>[1]TOBEPAID!V165/1000</f>
        <v>0</v>
      </c>
      <c r="W224" s="19">
        <f>[1]TOBEPAID!W165/1000</f>
        <v>0</v>
      </c>
      <c r="X224" s="19">
        <f>[1]TOBEPAID!X165/1000</f>
        <v>0</v>
      </c>
      <c r="Y224" s="19">
        <f>+H224+R224</f>
        <v>0</v>
      </c>
      <c r="Z224" s="19">
        <f t="shared" ref="Z224:Z231" si="37">+D224-Y224</f>
        <v>0</v>
      </c>
      <c r="AA224" s="19">
        <f>[1]TOBEPAID!AA165/1000</f>
        <v>0</v>
      </c>
      <c r="AB224" s="19">
        <f>[1]TOBEPAID!AB165/1000</f>
        <v>0</v>
      </c>
      <c r="AC224" s="19"/>
      <c r="AD224" s="19"/>
    </row>
    <row r="225" spans="1:30" x14ac:dyDescent="0.2">
      <c r="A225" s="18"/>
      <c r="B225" s="20"/>
      <c r="C225" s="50" t="s">
        <v>52</v>
      </c>
      <c r="D225" s="19">
        <f>4428422/1000</f>
        <v>4428.4219999999996</v>
      </c>
      <c r="E225" s="19">
        <f>[1]TOBEPAID!E166/1000</f>
        <v>4428.4219999999996</v>
      </c>
      <c r="F225" s="19">
        <f>[1]TOBEPAID!F166/1000</f>
        <v>0</v>
      </c>
      <c r="G225" s="19">
        <f>[1]TOBEPAID!G166/1000</f>
        <v>0</v>
      </c>
      <c r="H225" s="19">
        <f>4428422/1000</f>
        <v>4428.4219999999996</v>
      </c>
      <c r="I225" s="19">
        <f>[1]TOBEPAID!I166/1000</f>
        <v>0</v>
      </c>
      <c r="J225" s="19">
        <f>[1]TOBEPAID!J166/1000</f>
        <v>0</v>
      </c>
      <c r="K225" s="19">
        <f>[1]TOBEPAID!K166/1000</f>
        <v>0</v>
      </c>
      <c r="L225" s="19">
        <f>[1]TOBEPAID!L166/1000</f>
        <v>0</v>
      </c>
      <c r="M225" s="19">
        <f>[1]TOBEPAID!M166/1000</f>
        <v>0</v>
      </c>
      <c r="N225" s="19">
        <f>[1]TOBEPAID!N166/1000</f>
        <v>4428.4219999999996</v>
      </c>
      <c r="O225" s="19">
        <f>[1]TOBEPAID!O166/1000</f>
        <v>0</v>
      </c>
      <c r="P225" s="19">
        <f>[1]TOBEPAID!P166/1000</f>
        <v>0</v>
      </c>
      <c r="Q225" s="19">
        <f>[1]TOBEPAID!Q166/1000</f>
        <v>0</v>
      </c>
      <c r="R225" s="19">
        <v>0</v>
      </c>
      <c r="S225" s="19">
        <f>[1]TOBEPAID!S166/1000</f>
        <v>0</v>
      </c>
      <c r="T225" s="19">
        <f>[1]TOBEPAID!T166/1000</f>
        <v>0</v>
      </c>
      <c r="U225" s="19">
        <f>[1]TOBEPAID!U166/1000</f>
        <v>0</v>
      </c>
      <c r="V225" s="19">
        <f>[1]TOBEPAID!V166/1000</f>
        <v>0</v>
      </c>
      <c r="W225" s="19">
        <f>[1]TOBEPAID!W166/1000</f>
        <v>0</v>
      </c>
      <c r="X225" s="19">
        <f>[1]TOBEPAID!X166/1000</f>
        <v>0</v>
      </c>
      <c r="Y225" s="19">
        <f t="shared" ref="Y225:Y231" si="38">+H225+R225</f>
        <v>4428.4219999999996</v>
      </c>
      <c r="Z225" s="19">
        <f t="shared" si="37"/>
        <v>0</v>
      </c>
      <c r="AA225" s="19">
        <f>[1]TOBEPAID!AA166/1000</f>
        <v>0</v>
      </c>
      <c r="AB225" s="19">
        <f>[1]TOBEPAID!AB166/1000</f>
        <v>0</v>
      </c>
      <c r="AC225" s="19"/>
      <c r="AD225" s="19"/>
    </row>
    <row r="226" spans="1:30" x14ac:dyDescent="0.2">
      <c r="C226" s="9" t="s">
        <v>67</v>
      </c>
      <c r="D226" s="3">
        <f>360000000/1000</f>
        <v>360000</v>
      </c>
      <c r="H226" s="3">
        <f>360000000/1000</f>
        <v>360000</v>
      </c>
      <c r="R226" s="19">
        <v>0</v>
      </c>
      <c r="Y226" s="19">
        <f t="shared" si="38"/>
        <v>360000</v>
      </c>
      <c r="Z226" s="19">
        <f t="shared" si="37"/>
        <v>0</v>
      </c>
    </row>
    <row r="227" spans="1:30" x14ac:dyDescent="0.2">
      <c r="C227" s="9" t="s">
        <v>148</v>
      </c>
      <c r="D227" s="3">
        <f>7234924.9/1000</f>
        <v>7234.9249</v>
      </c>
      <c r="H227" s="3">
        <f>7234924/1000</f>
        <v>7234.924</v>
      </c>
      <c r="R227" s="19">
        <v>0</v>
      </c>
      <c r="Y227" s="19">
        <f t="shared" si="38"/>
        <v>7234.924</v>
      </c>
      <c r="Z227" s="19">
        <f t="shared" si="37"/>
        <v>9.0000000000145519E-4</v>
      </c>
    </row>
    <row r="228" spans="1:30" x14ac:dyDescent="0.2">
      <c r="C228" s="9" t="s">
        <v>149</v>
      </c>
      <c r="D228" s="3">
        <f>12000000/1000</f>
        <v>12000</v>
      </c>
      <c r="H228" s="3">
        <f>12000000/1000</f>
        <v>12000</v>
      </c>
      <c r="R228" s="19">
        <v>0</v>
      </c>
      <c r="Y228" s="19">
        <f t="shared" si="38"/>
        <v>12000</v>
      </c>
      <c r="Z228" s="19">
        <f t="shared" si="37"/>
        <v>0</v>
      </c>
    </row>
    <row r="229" spans="1:30" x14ac:dyDescent="0.2">
      <c r="A229" s="18"/>
      <c r="B229" s="20"/>
      <c r="C229" s="50" t="s">
        <v>97</v>
      </c>
      <c r="D229" s="19">
        <f>1336596/1000</f>
        <v>1336.596</v>
      </c>
      <c r="E229" s="19">
        <f>[1]TOBEPAID!E167/1000</f>
        <v>0</v>
      </c>
      <c r="F229" s="19">
        <f>[1]TOBEPAID!F167/1000</f>
        <v>0</v>
      </c>
      <c r="G229" s="19">
        <f>[1]TOBEPAID!G167/1000</f>
        <v>0</v>
      </c>
      <c r="H229" s="19">
        <v>0</v>
      </c>
      <c r="I229" s="19">
        <f>[1]TOBEPAID!I167/1000</f>
        <v>0</v>
      </c>
      <c r="J229" s="19">
        <f>[1]TOBEPAID!J167/1000</f>
        <v>0</v>
      </c>
      <c r="K229" s="19">
        <f>[1]TOBEPAID!K167/1000</f>
        <v>0</v>
      </c>
      <c r="L229" s="19">
        <f>[1]TOBEPAID!L167/1000</f>
        <v>0</v>
      </c>
      <c r="M229" s="19">
        <f>[1]TOBEPAID!M167/1000</f>
        <v>0</v>
      </c>
      <c r="N229" s="19">
        <f>[1]TOBEPAID!N167/1000</f>
        <v>0</v>
      </c>
      <c r="O229" s="19">
        <f>[1]TOBEPAID!O167/1000</f>
        <v>0</v>
      </c>
      <c r="P229" s="19">
        <f>[1]TOBEPAID!P167/1000</f>
        <v>0</v>
      </c>
      <c r="Q229" s="19">
        <f>[1]TOBEPAID!Q167/1000</f>
        <v>0</v>
      </c>
      <c r="R229" s="19">
        <v>0</v>
      </c>
      <c r="S229" s="19">
        <f>[1]TOBEPAID!S167/1000</f>
        <v>0</v>
      </c>
      <c r="T229" s="19">
        <f>[1]TOBEPAID!T167/1000</f>
        <v>0</v>
      </c>
      <c r="U229" s="19">
        <f>[1]TOBEPAID!U167/1000</f>
        <v>0</v>
      </c>
      <c r="V229" s="19">
        <f>[1]TOBEPAID!V167/1000</f>
        <v>0</v>
      </c>
      <c r="W229" s="19">
        <f>[1]TOBEPAID!W167/1000</f>
        <v>0</v>
      </c>
      <c r="X229" s="19">
        <f>[1]TOBEPAID!X167/1000</f>
        <v>0</v>
      </c>
      <c r="Y229" s="19">
        <f t="shared" si="38"/>
        <v>0</v>
      </c>
      <c r="Z229" s="19">
        <f t="shared" si="37"/>
        <v>1336.596</v>
      </c>
      <c r="AA229" s="19">
        <f>[1]TOBEPAID!AA167/1000</f>
        <v>0</v>
      </c>
      <c r="AB229" s="19">
        <f>[1]TOBEPAID!AB167/1000</f>
        <v>1336.6966599999998</v>
      </c>
      <c r="AC229" s="19"/>
      <c r="AD229" s="19"/>
    </row>
    <row r="230" spans="1:30" x14ac:dyDescent="0.2">
      <c r="A230" s="18"/>
      <c r="B230" s="22"/>
      <c r="C230" s="17" t="s">
        <v>96</v>
      </c>
      <c r="D230" s="19">
        <f>16488334.11/1000</f>
        <v>16488.33411</v>
      </c>
      <c r="E230" s="19">
        <f>[1]TOBEPAID!E168/1000</f>
        <v>0</v>
      </c>
      <c r="F230" s="19">
        <f>[1]TOBEPAID!F168/1000</f>
        <v>0</v>
      </c>
      <c r="G230" s="19">
        <f>[1]TOBEPAID!G168/1000</f>
        <v>0</v>
      </c>
      <c r="H230" s="19">
        <v>0</v>
      </c>
      <c r="I230" s="19">
        <f>[1]TOBEPAID!I168/1000</f>
        <v>0</v>
      </c>
      <c r="J230" s="19">
        <f>[1]TOBEPAID!J168/1000</f>
        <v>0</v>
      </c>
      <c r="K230" s="19">
        <f>[1]TOBEPAID!K168/1000</f>
        <v>0</v>
      </c>
      <c r="L230" s="19">
        <f>[1]TOBEPAID!L168/1000</f>
        <v>0</v>
      </c>
      <c r="M230" s="19">
        <f>[1]TOBEPAID!M168/1000</f>
        <v>0</v>
      </c>
      <c r="N230" s="19">
        <f>[1]TOBEPAID!N168/1000</f>
        <v>0</v>
      </c>
      <c r="O230" s="19">
        <f>[1]TOBEPAID!O168/1000</f>
        <v>15909.089980000001</v>
      </c>
      <c r="P230" s="19">
        <f>[1]TOBEPAID!P168/1000</f>
        <v>0</v>
      </c>
      <c r="Q230" s="19">
        <f>[1]TOBEPAID!Q168/1000</f>
        <v>0</v>
      </c>
      <c r="R230" s="19">
        <f>16488334/1000</f>
        <v>16488.333999999999</v>
      </c>
      <c r="S230" s="19">
        <f>[1]TOBEPAID!S168/1000</f>
        <v>0</v>
      </c>
      <c r="T230" s="19">
        <f>[1]TOBEPAID!T168/1000</f>
        <v>0</v>
      </c>
      <c r="U230" s="19">
        <f>[1]TOBEPAID!U168/1000</f>
        <v>0</v>
      </c>
      <c r="V230" s="19">
        <f>[1]TOBEPAID!V168/1000</f>
        <v>0</v>
      </c>
      <c r="W230" s="19">
        <f>[1]TOBEPAID!W168/1000</f>
        <v>0</v>
      </c>
      <c r="X230" s="19">
        <f>[1]TOBEPAID!X168/1000</f>
        <v>15909.089980000001</v>
      </c>
      <c r="Y230" s="19">
        <f t="shared" si="38"/>
        <v>16488.333999999999</v>
      </c>
      <c r="Z230" s="19">
        <f t="shared" si="37"/>
        <v>1.1000000085914508E-4</v>
      </c>
      <c r="AA230" s="19">
        <f>[1]TOBEPAID!AA168/1000</f>
        <v>0</v>
      </c>
      <c r="AB230" s="19">
        <f>[1]TOBEPAID!AB168/1000</f>
        <v>0</v>
      </c>
      <c r="AC230" s="19"/>
      <c r="AD230" s="19"/>
    </row>
    <row r="231" spans="1:30" x14ac:dyDescent="0.2">
      <c r="A231" s="18"/>
      <c r="B231" s="22"/>
      <c r="C231" s="9" t="s">
        <v>150</v>
      </c>
      <c r="D231" s="19">
        <f>4181290/1000</f>
        <v>4181.29</v>
      </c>
      <c r="E231" s="19">
        <f>[1]TOBEPAID!E169/1000</f>
        <v>4181.2903100000003</v>
      </c>
      <c r="F231" s="19">
        <f>[1]TOBEPAID!F169/1000</f>
        <v>0</v>
      </c>
      <c r="G231" s="19">
        <f>[1]TOBEPAID!G169/1000</f>
        <v>0</v>
      </c>
      <c r="H231" s="19">
        <f>4181290/1000</f>
        <v>4181.29</v>
      </c>
      <c r="I231" s="19">
        <f>[1]TOBEPAID!I169/1000</f>
        <v>0</v>
      </c>
      <c r="J231" s="19">
        <f>[1]TOBEPAID!J169/1000</f>
        <v>0</v>
      </c>
      <c r="K231" s="19">
        <f>[1]TOBEPAID!K169/1000</f>
        <v>0</v>
      </c>
      <c r="L231" s="19">
        <f>[1]TOBEPAID!L169/1000</f>
        <v>0</v>
      </c>
      <c r="M231" s="19">
        <f>[1]TOBEPAID!M169/1000</f>
        <v>0</v>
      </c>
      <c r="N231" s="19">
        <f>[1]TOBEPAID!N169/1000</f>
        <v>4181.2903100000003</v>
      </c>
      <c r="O231" s="19">
        <f>[1]TOBEPAID!O169/1000</f>
        <v>0</v>
      </c>
      <c r="P231" s="19">
        <f>[1]TOBEPAID!P169/1000</f>
        <v>0</v>
      </c>
      <c r="Q231" s="19">
        <f>[1]TOBEPAID!Q169/1000</f>
        <v>0</v>
      </c>
      <c r="R231" s="19">
        <v>0</v>
      </c>
      <c r="S231" s="19">
        <f>[1]TOBEPAID!S169/1000</f>
        <v>0</v>
      </c>
      <c r="T231" s="19">
        <f>[1]TOBEPAID!T169/1000</f>
        <v>0</v>
      </c>
      <c r="U231" s="19">
        <f>[1]TOBEPAID!U169/1000</f>
        <v>0</v>
      </c>
      <c r="V231" s="19">
        <f>[1]TOBEPAID!V169/1000</f>
        <v>0</v>
      </c>
      <c r="W231" s="19">
        <f>[1]TOBEPAID!W169/1000</f>
        <v>0</v>
      </c>
      <c r="X231" s="19">
        <f>[1]TOBEPAID!X169/1000</f>
        <v>0</v>
      </c>
      <c r="Y231" s="19">
        <f t="shared" si="38"/>
        <v>4181.29</v>
      </c>
      <c r="Z231" s="19">
        <f t="shared" si="37"/>
        <v>0</v>
      </c>
      <c r="AA231" s="19">
        <f>[1]TOBEPAID!AA169/1000</f>
        <v>0</v>
      </c>
      <c r="AB231" s="19">
        <f>[1]TOBEPAID!AB169/1000</f>
        <v>0</v>
      </c>
      <c r="AC231" s="19"/>
      <c r="AD231" s="19"/>
    </row>
    <row r="232" spans="1:30" x14ac:dyDescent="0.2">
      <c r="A232" s="18"/>
      <c r="B232" s="22"/>
      <c r="C232" s="45"/>
      <c r="D232" s="21" t="s">
        <v>57</v>
      </c>
      <c r="E232" s="21" t="s">
        <v>57</v>
      </c>
      <c r="F232" s="21" t="s">
        <v>57</v>
      </c>
      <c r="G232" s="21"/>
      <c r="H232" s="21" t="s">
        <v>57</v>
      </c>
      <c r="I232" s="21" t="s">
        <v>57</v>
      </c>
      <c r="J232" s="21" t="s">
        <v>57</v>
      </c>
      <c r="K232" s="21" t="s">
        <v>57</v>
      </c>
      <c r="L232" s="21" t="s">
        <v>57</v>
      </c>
      <c r="M232" s="21"/>
      <c r="N232" s="21" t="s">
        <v>57</v>
      </c>
      <c r="O232" s="21" t="s">
        <v>57</v>
      </c>
      <c r="P232" s="21" t="s">
        <v>57</v>
      </c>
      <c r="Q232" s="21"/>
      <c r="R232" s="21" t="s">
        <v>57</v>
      </c>
      <c r="S232" s="21" t="s">
        <v>57</v>
      </c>
      <c r="T232" s="21" t="s">
        <v>57</v>
      </c>
      <c r="U232" s="21" t="s">
        <v>57</v>
      </c>
      <c r="V232" s="21" t="s">
        <v>57</v>
      </c>
      <c r="W232" s="21"/>
      <c r="X232" s="21" t="s">
        <v>57</v>
      </c>
      <c r="Y232" s="21" t="s">
        <v>57</v>
      </c>
      <c r="Z232" s="21" t="s">
        <v>57</v>
      </c>
      <c r="AA232" s="21" t="s">
        <v>57</v>
      </c>
      <c r="AB232" s="40" t="s">
        <v>118</v>
      </c>
      <c r="AC232" s="40"/>
      <c r="AD232" s="40"/>
    </row>
    <row r="233" spans="1:30" x14ac:dyDescent="0.2">
      <c r="A233" s="18"/>
      <c r="B233" s="17"/>
      <c r="C233" s="9"/>
      <c r="D233" s="46">
        <f>SUM(D224:D231)</f>
        <v>405669.56701</v>
      </c>
      <c r="E233" s="46">
        <f>SUM(E224:E231)</f>
        <v>8609.712309999999</v>
      </c>
      <c r="F233" s="46">
        <f>SUM(F224:F231)</f>
        <v>0</v>
      </c>
      <c r="G233" s="46"/>
      <c r="H233" s="46">
        <f>SUM(H224:H231)</f>
        <v>387844.636</v>
      </c>
      <c r="I233" s="46">
        <f>SUM(I224:I231)</f>
        <v>0</v>
      </c>
      <c r="J233" s="46">
        <f>SUM(J224:J231)</f>
        <v>0</v>
      </c>
      <c r="K233" s="46">
        <f>SUM(K224:K231)</f>
        <v>0</v>
      </c>
      <c r="L233" s="46">
        <f>SUM(L224:L231)</f>
        <v>0</v>
      </c>
      <c r="M233" s="46"/>
      <c r="N233" s="46">
        <f>SUM(N224:N231)</f>
        <v>8609.712309999999</v>
      </c>
      <c r="O233" s="46">
        <f>SUM(O224:O231)</f>
        <v>15909.089980000001</v>
      </c>
      <c r="P233" s="46">
        <f>SUM(P224:P231)</f>
        <v>0</v>
      </c>
      <c r="Q233" s="46"/>
      <c r="R233" s="46">
        <f>SUM(R224:R231)</f>
        <v>16488.333999999999</v>
      </c>
      <c r="S233" s="46">
        <f>SUM(S224:S231)</f>
        <v>0</v>
      </c>
      <c r="T233" s="46">
        <f>SUM(T224:T231)</f>
        <v>0</v>
      </c>
      <c r="U233" s="46">
        <f>SUM(U224:U231)</f>
        <v>0</v>
      </c>
      <c r="V233" s="46">
        <f>SUM(V224:V231)</f>
        <v>0</v>
      </c>
      <c r="W233" s="46"/>
      <c r="X233" s="46">
        <f>SUM(X224:X231)</f>
        <v>15909.089980000001</v>
      </c>
      <c r="Y233" s="46">
        <f>SUM(Y224:Y231)</f>
        <v>404332.97</v>
      </c>
      <c r="Z233" s="46">
        <f>SUM(Z224:Z231)</f>
        <v>1336.5970100000009</v>
      </c>
      <c r="AA233" s="46">
        <f>SUM(AA224:AA231)</f>
        <v>0</v>
      </c>
      <c r="AB233" s="46">
        <f>SUM(AB224:AB231)</f>
        <v>1336.6966599999998</v>
      </c>
      <c r="AC233" s="46"/>
      <c r="AD233" s="46"/>
    </row>
    <row r="234" spans="1:30" x14ac:dyDescent="0.2">
      <c r="A234" s="18"/>
      <c r="B234" s="17"/>
      <c r="C234" s="9"/>
      <c r="D234" s="21" t="s">
        <v>57</v>
      </c>
      <c r="E234" s="21" t="s">
        <v>57</v>
      </c>
      <c r="F234" s="21" t="s">
        <v>57</v>
      </c>
      <c r="G234" s="21"/>
      <c r="H234" s="21" t="s">
        <v>57</v>
      </c>
      <c r="I234" s="21" t="s">
        <v>57</v>
      </c>
      <c r="J234" s="21" t="s">
        <v>57</v>
      </c>
      <c r="K234" s="21" t="s">
        <v>57</v>
      </c>
      <c r="L234" s="21" t="s">
        <v>57</v>
      </c>
      <c r="M234" s="21"/>
      <c r="N234" s="21" t="s">
        <v>57</v>
      </c>
      <c r="O234" s="21" t="s">
        <v>57</v>
      </c>
      <c r="P234" s="21" t="s">
        <v>57</v>
      </c>
      <c r="Q234" s="21"/>
      <c r="R234" s="21" t="s">
        <v>57</v>
      </c>
      <c r="S234" s="21" t="s">
        <v>57</v>
      </c>
      <c r="T234" s="21" t="s">
        <v>57</v>
      </c>
      <c r="U234" s="21" t="s">
        <v>57</v>
      </c>
      <c r="V234" s="21" t="s">
        <v>57</v>
      </c>
      <c r="W234" s="21"/>
      <c r="X234" s="21" t="s">
        <v>57</v>
      </c>
      <c r="Y234" s="21" t="s">
        <v>57</v>
      </c>
      <c r="Z234" s="21" t="s">
        <v>57</v>
      </c>
      <c r="AA234" s="21" t="s">
        <v>57</v>
      </c>
      <c r="AB234" s="40" t="s">
        <v>118</v>
      </c>
      <c r="AC234" s="40"/>
      <c r="AD234" s="40"/>
    </row>
    <row r="235" spans="1:30" x14ac:dyDescent="0.2">
      <c r="A235" s="18"/>
      <c r="B235" s="17"/>
      <c r="C235" s="9"/>
      <c r="D235" s="46"/>
      <c r="E235" s="30"/>
      <c r="F235" s="19"/>
      <c r="G235" s="19"/>
      <c r="H235" s="30"/>
      <c r="I235" s="19"/>
      <c r="J235" s="19"/>
      <c r="K235" s="30"/>
      <c r="L235" s="19"/>
      <c r="M235" s="19"/>
      <c r="N235" s="19"/>
      <c r="O235" s="19"/>
      <c r="P235" s="19"/>
      <c r="Q235" s="19"/>
      <c r="R235" s="19"/>
      <c r="S235" s="19"/>
      <c r="T235" s="19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</row>
    <row r="236" spans="1:30" x14ac:dyDescent="0.2">
      <c r="A236" s="18">
        <v>16</v>
      </c>
      <c r="B236" s="17" t="s">
        <v>151</v>
      </c>
      <c r="C236" s="17" t="s">
        <v>51</v>
      </c>
      <c r="D236" s="19">
        <f>2168480.35/1000</f>
        <v>2168.4803500000003</v>
      </c>
      <c r="E236" s="19">
        <f>[1]TOBEPAID!E174/1000</f>
        <v>0</v>
      </c>
      <c r="F236" s="19">
        <f>[1]TOBEPAID!F174/1000</f>
        <v>0</v>
      </c>
      <c r="G236" s="19">
        <f>[1]TOBEPAID!G174/1000</f>
        <v>0</v>
      </c>
      <c r="H236" s="19">
        <v>0</v>
      </c>
      <c r="I236" s="19">
        <f>[1]TOBEPAID!I174/1000</f>
        <v>0</v>
      </c>
      <c r="J236" s="19">
        <f>[1]TOBEPAID!J174/1000</f>
        <v>0</v>
      </c>
      <c r="K236" s="19">
        <f>[1]TOBEPAID!K174/1000</f>
        <v>0</v>
      </c>
      <c r="L236" s="19">
        <f>[1]TOBEPAID!L174/1000</f>
        <v>0</v>
      </c>
      <c r="M236" s="19">
        <f>[1]TOBEPAID!M174/1000</f>
        <v>0</v>
      </c>
      <c r="N236" s="19">
        <f>[1]TOBEPAID!N174/1000</f>
        <v>0</v>
      </c>
      <c r="O236" s="19">
        <f>[1]TOBEPAID!O174/1000</f>
        <v>432.97285999999997</v>
      </c>
      <c r="P236" s="19">
        <f>[1]TOBEPAID!P174/1000</f>
        <v>0</v>
      </c>
      <c r="Q236" s="19">
        <f>[1]TOBEPAID!Q174/1000</f>
        <v>0</v>
      </c>
      <c r="R236" s="19">
        <f>2168480.35/1000</f>
        <v>2168.4803500000003</v>
      </c>
      <c r="S236" s="19">
        <f>[1]TOBEPAID!S174/1000</f>
        <v>0</v>
      </c>
      <c r="T236" s="19">
        <f>[1]TOBEPAID!T174/1000</f>
        <v>0</v>
      </c>
      <c r="U236" s="19">
        <f>[1]TOBEPAID!U174/1000</f>
        <v>0</v>
      </c>
      <c r="V236" s="19">
        <f>[1]TOBEPAID!V174/1000</f>
        <v>0</v>
      </c>
      <c r="W236" s="19">
        <f>[1]TOBEPAID!W174/1000</f>
        <v>0</v>
      </c>
      <c r="X236" s="19">
        <f>[1]TOBEPAID!X174/1000</f>
        <v>432.97285999999997</v>
      </c>
      <c r="Y236" s="19">
        <f>+H236+R236</f>
        <v>2168.4803500000003</v>
      </c>
      <c r="Z236" s="19">
        <f t="shared" ref="Z236:Z243" si="39">+D236-Y236</f>
        <v>0</v>
      </c>
      <c r="AA236" s="19">
        <f>[1]TOBEPAID!AA174/1000</f>
        <v>0</v>
      </c>
      <c r="AB236" s="19">
        <f>[1]TOBEPAID!AB174/1000</f>
        <v>724.89086999999995</v>
      </c>
      <c r="AC236" s="19"/>
      <c r="AD236" s="19"/>
    </row>
    <row r="237" spans="1:30" x14ac:dyDescent="0.2">
      <c r="A237" s="18"/>
      <c r="B237" s="17"/>
      <c r="C237" s="9" t="s">
        <v>52</v>
      </c>
      <c r="D237" s="19">
        <f>2463241/1000</f>
        <v>2463.241</v>
      </c>
      <c r="E237" s="19">
        <f>[1]TOBEPAID!E175/1000</f>
        <v>2463.241</v>
      </c>
      <c r="F237" s="19">
        <f>[1]TOBEPAID!F175/1000</f>
        <v>0</v>
      </c>
      <c r="G237" s="19">
        <f>[1]TOBEPAID!G175/1000</f>
        <v>0</v>
      </c>
      <c r="H237" s="19">
        <f>2463241/1000</f>
        <v>2463.241</v>
      </c>
      <c r="I237" s="19">
        <f>[1]TOBEPAID!I175/1000</f>
        <v>0</v>
      </c>
      <c r="J237" s="19">
        <f>[1]TOBEPAID!J175/1000</f>
        <v>0</v>
      </c>
      <c r="K237" s="19">
        <f>[1]TOBEPAID!K175/1000</f>
        <v>0</v>
      </c>
      <c r="L237" s="19">
        <f>[1]TOBEPAID!L175/1000</f>
        <v>0</v>
      </c>
      <c r="M237" s="19">
        <f>[1]TOBEPAID!M175/1000</f>
        <v>0</v>
      </c>
      <c r="N237" s="19">
        <f>[1]TOBEPAID!N175/1000</f>
        <v>2463.241</v>
      </c>
      <c r="O237" s="19">
        <f>[1]TOBEPAID!O175/1000</f>
        <v>0</v>
      </c>
      <c r="P237" s="19">
        <f>[1]TOBEPAID!P175/1000</f>
        <v>0</v>
      </c>
      <c r="Q237" s="19">
        <f>[1]TOBEPAID!Q175/1000</f>
        <v>0</v>
      </c>
      <c r="R237" s="19">
        <f>[1]TOBEPAID!R175/1000</f>
        <v>0</v>
      </c>
      <c r="S237" s="19">
        <f>[1]TOBEPAID!S175/1000</f>
        <v>0</v>
      </c>
      <c r="T237" s="19">
        <f>[1]TOBEPAID!T175/1000</f>
        <v>0</v>
      </c>
      <c r="U237" s="19">
        <f>[1]TOBEPAID!U175/1000</f>
        <v>0</v>
      </c>
      <c r="V237" s="19">
        <f>[1]TOBEPAID!V175/1000</f>
        <v>0</v>
      </c>
      <c r="W237" s="19">
        <f>[1]TOBEPAID!W175/1000</f>
        <v>0</v>
      </c>
      <c r="X237" s="19">
        <f>[1]TOBEPAID!X175/1000</f>
        <v>0</v>
      </c>
      <c r="Y237" s="19">
        <f t="shared" ref="Y237:Y243" si="40">+H237+R237</f>
        <v>2463.241</v>
      </c>
      <c r="Z237" s="19">
        <f t="shared" si="39"/>
        <v>0</v>
      </c>
      <c r="AA237" s="19">
        <f>[1]TOBEPAID!AA175/1000</f>
        <v>0</v>
      </c>
      <c r="AB237" s="19">
        <f>[1]TOBEPAID!AB175/1000</f>
        <v>0</v>
      </c>
      <c r="AC237" s="19"/>
      <c r="AD237" s="19"/>
    </row>
    <row r="238" spans="1:30" x14ac:dyDescent="0.2">
      <c r="C238" s="3" t="s">
        <v>78</v>
      </c>
      <c r="D238" s="19">
        <f>8000000/1000</f>
        <v>8000</v>
      </c>
      <c r="E238" s="19">
        <f>[1]TOBEPAID!E176/1000</f>
        <v>8000</v>
      </c>
      <c r="F238" s="19">
        <f>[1]TOBEPAID!F176/1000</f>
        <v>0</v>
      </c>
      <c r="G238" s="19">
        <f>[1]TOBEPAID!G176/1000</f>
        <v>0</v>
      </c>
      <c r="H238" s="19">
        <f>8000000/1000</f>
        <v>8000</v>
      </c>
      <c r="I238" s="19">
        <f>[1]TOBEPAID!I176/1000</f>
        <v>0</v>
      </c>
      <c r="J238" s="19">
        <f>[1]TOBEPAID!J176/1000</f>
        <v>0</v>
      </c>
      <c r="K238" s="19">
        <f>[1]TOBEPAID!K176/1000</f>
        <v>0</v>
      </c>
      <c r="L238" s="19">
        <f>[1]TOBEPAID!L176/1000</f>
        <v>0</v>
      </c>
      <c r="M238" s="19">
        <f>[1]TOBEPAID!M176/1000</f>
        <v>0</v>
      </c>
      <c r="N238" s="19">
        <f>[1]TOBEPAID!N176/1000</f>
        <v>8000</v>
      </c>
      <c r="O238" s="19">
        <f>[1]TOBEPAID!O176/1000</f>
        <v>0</v>
      </c>
      <c r="P238" s="19">
        <f>[1]TOBEPAID!P176/1000</f>
        <v>0</v>
      </c>
      <c r="Q238" s="19">
        <f>[1]TOBEPAID!Q176/1000</f>
        <v>0</v>
      </c>
      <c r="R238" s="19">
        <f>[1]TOBEPAID!R176/1000</f>
        <v>0</v>
      </c>
      <c r="S238" s="19">
        <f>[1]TOBEPAID!S176/1000</f>
        <v>0</v>
      </c>
      <c r="T238" s="19">
        <f>[1]TOBEPAID!T176/1000</f>
        <v>0</v>
      </c>
      <c r="U238" s="19">
        <f>[1]TOBEPAID!U176/1000</f>
        <v>0</v>
      </c>
      <c r="V238" s="19">
        <f>[1]TOBEPAID!V176/1000</f>
        <v>0</v>
      </c>
      <c r="W238" s="19">
        <f>[1]TOBEPAID!W176/1000</f>
        <v>0</v>
      </c>
      <c r="X238" s="19">
        <f>[1]TOBEPAID!X176/1000</f>
        <v>0</v>
      </c>
      <c r="Y238" s="19">
        <f t="shared" si="40"/>
        <v>8000</v>
      </c>
      <c r="Z238" s="19">
        <f t="shared" si="39"/>
        <v>0</v>
      </c>
      <c r="AA238" s="19">
        <f>[1]TOBEPAID!AA176/1000</f>
        <v>0</v>
      </c>
      <c r="AB238" s="19">
        <f>[1]TOBEPAID!AB176/1000</f>
        <v>0</v>
      </c>
      <c r="AC238" s="19"/>
      <c r="AD238" s="19"/>
    </row>
    <row r="239" spans="1:30" x14ac:dyDescent="0.2">
      <c r="C239" s="9" t="s">
        <v>67</v>
      </c>
      <c r="D239" s="19">
        <f>420709379.04/1000</f>
        <v>420709.37904000003</v>
      </c>
      <c r="E239" s="19">
        <f>[1]TOBEPAID!E177/1000</f>
        <v>132709.37904</v>
      </c>
      <c r="F239" s="19">
        <f>[1]TOBEPAID!F177/1000</f>
        <v>22000</v>
      </c>
      <c r="G239" s="19">
        <f>[1]TOBEPAID!G177/1000</f>
        <v>0</v>
      </c>
      <c r="H239" s="19">
        <f>420709379.04/1000</f>
        <v>420709.37904000003</v>
      </c>
      <c r="I239" s="19">
        <f>[1]TOBEPAID!I177/1000</f>
        <v>0</v>
      </c>
      <c r="J239" s="19">
        <f>[1]TOBEPAID!J177/1000</f>
        <v>0</v>
      </c>
      <c r="K239" s="19">
        <f>[1]TOBEPAID!K177/1000</f>
        <v>0</v>
      </c>
      <c r="L239" s="19">
        <f>[1]TOBEPAID!L177/1000</f>
        <v>0</v>
      </c>
      <c r="M239" s="19">
        <f>[1]TOBEPAID!M177/1000</f>
        <v>0</v>
      </c>
      <c r="N239" s="19">
        <f>[1]TOBEPAID!N177/1000</f>
        <v>154709.37904</v>
      </c>
      <c r="O239" s="19">
        <f>[1]TOBEPAID!O177/1000</f>
        <v>0</v>
      </c>
      <c r="P239" s="19">
        <f>[1]TOBEPAID!P177/1000</f>
        <v>0</v>
      </c>
      <c r="Q239" s="19">
        <f>[1]TOBEPAID!Q177/1000</f>
        <v>0</v>
      </c>
      <c r="R239" s="19">
        <f>[1]TOBEPAID!R177/1000</f>
        <v>0</v>
      </c>
      <c r="S239" s="19">
        <f>[1]TOBEPAID!S177/1000</f>
        <v>0</v>
      </c>
      <c r="T239" s="19">
        <f>[1]TOBEPAID!T177/1000</f>
        <v>0</v>
      </c>
      <c r="U239" s="19">
        <f>[1]TOBEPAID!U177/1000</f>
        <v>0</v>
      </c>
      <c r="V239" s="19">
        <f>[1]TOBEPAID!V177/1000</f>
        <v>0</v>
      </c>
      <c r="W239" s="19">
        <f>[1]TOBEPAID!W177/1000</f>
        <v>0</v>
      </c>
      <c r="X239" s="19">
        <f>[1]TOBEPAID!X177/1000</f>
        <v>0</v>
      </c>
      <c r="Y239" s="19">
        <f t="shared" si="40"/>
        <v>420709.37904000003</v>
      </c>
      <c r="Z239" s="19">
        <f t="shared" si="39"/>
        <v>0</v>
      </c>
      <c r="AA239" s="19">
        <f>[1]TOBEPAID!AA177/1000</f>
        <v>0</v>
      </c>
      <c r="AB239" s="19">
        <f>[1]TOBEPAID!AB177/1000</f>
        <v>0</v>
      </c>
      <c r="AC239" s="19"/>
      <c r="AD239" s="19"/>
    </row>
    <row r="240" spans="1:30" x14ac:dyDescent="0.2">
      <c r="C240" s="9" t="s">
        <v>100</v>
      </c>
      <c r="D240" s="19">
        <f>1207870/1000</f>
        <v>1207.8699999999999</v>
      </c>
      <c r="E240" s="19">
        <f>[1]TOBEPAID!E178/1000</f>
        <v>1207.8702700000001</v>
      </c>
      <c r="F240" s="19">
        <f>[1]TOBEPAID!F178/1000</f>
        <v>0</v>
      </c>
      <c r="G240" s="19">
        <f>[1]TOBEPAID!G178/1000</f>
        <v>0</v>
      </c>
      <c r="H240" s="19">
        <f>1207870/1000</f>
        <v>1207.8699999999999</v>
      </c>
      <c r="I240" s="19">
        <f>[1]TOBEPAID!I178/1000</f>
        <v>0</v>
      </c>
      <c r="J240" s="19">
        <f>[1]TOBEPAID!J178/1000</f>
        <v>0</v>
      </c>
      <c r="K240" s="19">
        <f>[1]TOBEPAID!K178/1000</f>
        <v>0</v>
      </c>
      <c r="L240" s="19">
        <f>[1]TOBEPAID!L178/1000</f>
        <v>0</v>
      </c>
      <c r="M240" s="19">
        <f>[1]TOBEPAID!M178/1000</f>
        <v>0</v>
      </c>
      <c r="N240" s="19">
        <f>[1]TOBEPAID!N178/1000</f>
        <v>1207.8702700000001</v>
      </c>
      <c r="O240" s="19">
        <f>[1]TOBEPAID!O178/1000</f>
        <v>0</v>
      </c>
      <c r="P240" s="19">
        <f>[1]TOBEPAID!P178/1000</f>
        <v>0</v>
      </c>
      <c r="Q240" s="19">
        <f>[1]TOBEPAID!Q178/1000</f>
        <v>0</v>
      </c>
      <c r="R240" s="19">
        <v>0</v>
      </c>
      <c r="S240" s="19">
        <f>[1]TOBEPAID!S178/1000</f>
        <v>0</v>
      </c>
      <c r="T240" s="19">
        <f>[1]TOBEPAID!T178/1000</f>
        <v>0</v>
      </c>
      <c r="U240" s="19">
        <f>[1]TOBEPAID!U178/1000</f>
        <v>0</v>
      </c>
      <c r="V240" s="19">
        <f>[1]TOBEPAID!V178/1000</f>
        <v>0</v>
      </c>
      <c r="W240" s="19">
        <f>[1]TOBEPAID!W178/1000</f>
        <v>0</v>
      </c>
      <c r="X240" s="19">
        <f>[1]TOBEPAID!X178/1000</f>
        <v>0</v>
      </c>
      <c r="Y240" s="19">
        <f t="shared" si="40"/>
        <v>1207.8699999999999</v>
      </c>
      <c r="Z240" s="19">
        <f t="shared" si="39"/>
        <v>0</v>
      </c>
      <c r="AA240" s="19">
        <f>[1]TOBEPAID!AA178/1000</f>
        <v>0</v>
      </c>
      <c r="AB240" s="19">
        <f>[1]TOBEPAID!AB178/1000</f>
        <v>0</v>
      </c>
      <c r="AC240" s="19"/>
      <c r="AD240" s="19"/>
    </row>
    <row r="241" spans="1:45" x14ac:dyDescent="0.2">
      <c r="A241" s="18"/>
      <c r="B241" s="22"/>
      <c r="C241" s="17" t="s">
        <v>96</v>
      </c>
      <c r="D241" s="19">
        <f>18808958/1000</f>
        <v>18808.957999999999</v>
      </c>
      <c r="E241" s="19">
        <f>[1]TOBEPAID!E179/1000</f>
        <v>0</v>
      </c>
      <c r="F241" s="19">
        <f>[1]TOBEPAID!F179/1000</f>
        <v>0</v>
      </c>
      <c r="G241" s="19">
        <f>[1]TOBEPAID!G179/1000</f>
        <v>0</v>
      </c>
      <c r="H241" s="19">
        <f>[1]TOBEPAID!H179/1000</f>
        <v>0</v>
      </c>
      <c r="I241" s="19">
        <f>[1]TOBEPAID!I179/1000</f>
        <v>0</v>
      </c>
      <c r="J241" s="19">
        <f>[1]TOBEPAID!J179/1000</f>
        <v>0</v>
      </c>
      <c r="K241" s="19">
        <f>[1]TOBEPAID!K179/1000</f>
        <v>0</v>
      </c>
      <c r="L241" s="19">
        <f>[1]TOBEPAID!L179/1000</f>
        <v>0</v>
      </c>
      <c r="M241" s="19">
        <f>[1]TOBEPAID!M179/1000</f>
        <v>0</v>
      </c>
      <c r="N241" s="19">
        <f>[1]TOBEPAID!N179/1000</f>
        <v>0</v>
      </c>
      <c r="O241" s="19">
        <f>[1]TOBEPAID!O179/1000</f>
        <v>18808.95852</v>
      </c>
      <c r="P241" s="19">
        <f>[1]TOBEPAID!P179/1000</f>
        <v>0</v>
      </c>
      <c r="Q241" s="19">
        <f>[1]TOBEPAID!Q179/1000</f>
        <v>0</v>
      </c>
      <c r="R241" s="19">
        <f>18808958/1000</f>
        <v>18808.957999999999</v>
      </c>
      <c r="S241" s="19">
        <f>[1]TOBEPAID!S179/1000</f>
        <v>0</v>
      </c>
      <c r="T241" s="19">
        <f>[1]TOBEPAID!T179/1000</f>
        <v>0</v>
      </c>
      <c r="U241" s="19">
        <f>[1]TOBEPAID!U179/1000</f>
        <v>0</v>
      </c>
      <c r="V241" s="19">
        <f>[1]TOBEPAID!V179/1000</f>
        <v>0</v>
      </c>
      <c r="W241" s="19">
        <f>[1]TOBEPAID!W179/1000</f>
        <v>0</v>
      </c>
      <c r="X241" s="19">
        <f>[1]TOBEPAID!X179/1000</f>
        <v>18808.95852</v>
      </c>
      <c r="Y241" s="19">
        <f t="shared" si="40"/>
        <v>18808.957999999999</v>
      </c>
      <c r="Z241" s="19">
        <f t="shared" si="39"/>
        <v>0</v>
      </c>
      <c r="AA241" s="19">
        <f>[1]TOBEPAID!AA179/1000</f>
        <v>0</v>
      </c>
      <c r="AB241" s="19">
        <f>[1]TOBEPAID!AB179/1000</f>
        <v>0</v>
      </c>
      <c r="AC241" s="19"/>
      <c r="AD241" s="19"/>
    </row>
    <row r="242" spans="1:45" x14ac:dyDescent="0.2">
      <c r="A242" s="18"/>
      <c r="B242" s="22"/>
      <c r="C242" s="9" t="s">
        <v>97</v>
      </c>
      <c r="D242" s="19">
        <f>6700073/1000</f>
        <v>6700.0730000000003</v>
      </c>
      <c r="E242" s="19">
        <f>[1]TOBEPAID!E180/1000</f>
        <v>0</v>
      </c>
      <c r="F242" s="19">
        <f>[1]TOBEPAID!F180/1000</f>
        <v>0</v>
      </c>
      <c r="G242" s="19">
        <f>[1]TOBEPAID!G180/1000</f>
        <v>0</v>
      </c>
      <c r="H242" s="19">
        <f>[1]TOBEPAID!H180/1000</f>
        <v>0</v>
      </c>
      <c r="I242" s="19">
        <f>[1]TOBEPAID!I180/1000</f>
        <v>0</v>
      </c>
      <c r="J242" s="19">
        <f>[1]TOBEPAID!J180/1000</f>
        <v>0</v>
      </c>
      <c r="K242" s="19">
        <f>[1]TOBEPAID!K180/1000</f>
        <v>0</v>
      </c>
      <c r="L242" s="19">
        <f>[1]TOBEPAID!L180/1000</f>
        <v>0</v>
      </c>
      <c r="M242" s="19">
        <f>[1]TOBEPAID!M180/1000</f>
        <v>0</v>
      </c>
      <c r="N242" s="19">
        <f>[1]TOBEPAID!N180/1000</f>
        <v>0</v>
      </c>
      <c r="O242" s="19">
        <f>[1]TOBEPAID!O180/1000</f>
        <v>5978.0601200000001</v>
      </c>
      <c r="P242" s="19">
        <f>[1]TOBEPAID!P180/1000</f>
        <v>0</v>
      </c>
      <c r="Q242" s="19">
        <f>[1]TOBEPAID!Q180/1000</f>
        <v>0</v>
      </c>
      <c r="R242" s="19">
        <f>5978060/1000</f>
        <v>5978.06</v>
      </c>
      <c r="S242" s="19">
        <f>[1]TOBEPAID!S180/1000</f>
        <v>0</v>
      </c>
      <c r="T242" s="19">
        <f>[1]TOBEPAID!T180/1000</f>
        <v>0</v>
      </c>
      <c r="U242" s="19">
        <f>[1]TOBEPAID!U180/1000</f>
        <v>0</v>
      </c>
      <c r="V242" s="19">
        <f>[1]TOBEPAID!V180/1000</f>
        <v>0</v>
      </c>
      <c r="W242" s="19">
        <f>[1]TOBEPAID!W180/1000</f>
        <v>0</v>
      </c>
      <c r="X242" s="19">
        <f>[1]TOBEPAID!X180/1000</f>
        <v>5978.0601200000001</v>
      </c>
      <c r="Y242" s="19">
        <f t="shared" si="40"/>
        <v>5978.06</v>
      </c>
      <c r="Z242" s="19">
        <f t="shared" si="39"/>
        <v>722.01299999999992</v>
      </c>
      <c r="AA242" s="19">
        <f>[1]TOBEPAID!AA180/1000</f>
        <v>0</v>
      </c>
      <c r="AB242" s="19">
        <f>[1]TOBEPAID!AB180/1000</f>
        <v>722.01289999999949</v>
      </c>
      <c r="AC242" s="19"/>
      <c r="AD242" s="19"/>
    </row>
    <row r="243" spans="1:45" x14ac:dyDescent="0.2">
      <c r="A243" s="18"/>
      <c r="B243" s="22"/>
      <c r="C243" s="51" t="s">
        <v>152</v>
      </c>
      <c r="D243" s="19">
        <f>434405/1000</f>
        <v>434.40499999999997</v>
      </c>
      <c r="E243" s="19">
        <f>[1]TOBEPAID!E181/1000</f>
        <v>0</v>
      </c>
      <c r="F243" s="19">
        <f>[1]TOBEPAID!F181/1000</f>
        <v>0</v>
      </c>
      <c r="G243" s="19">
        <f>[1]TOBEPAID!G181/1000</f>
        <v>0</v>
      </c>
      <c r="H243" s="19">
        <f>[1]TOBEPAID!H181/1000</f>
        <v>0</v>
      </c>
      <c r="I243" s="19">
        <f>[1]TOBEPAID!I181/1000</f>
        <v>0</v>
      </c>
      <c r="J243" s="19">
        <f>[1]TOBEPAID!J181/1000</f>
        <v>0</v>
      </c>
      <c r="K243" s="19">
        <f>[1]TOBEPAID!K181/1000</f>
        <v>0</v>
      </c>
      <c r="L243" s="19">
        <f>[1]TOBEPAID!L181/1000</f>
        <v>0</v>
      </c>
      <c r="M243" s="19">
        <f>[1]TOBEPAID!M181/1000</f>
        <v>0</v>
      </c>
      <c r="N243" s="19">
        <f>[1]TOBEPAID!N181/1000</f>
        <v>0</v>
      </c>
      <c r="O243" s="19">
        <f>[1]TOBEPAID!O181/1000</f>
        <v>0</v>
      </c>
      <c r="P243" s="19">
        <f>[1]TOBEPAID!P181/1000</f>
        <v>0</v>
      </c>
      <c r="Q243" s="19">
        <f>[1]TOBEPAID!Q181/1000</f>
        <v>0</v>
      </c>
      <c r="R243" s="19">
        <v>0</v>
      </c>
      <c r="S243" s="19">
        <f>[1]TOBEPAID!S181/1000</f>
        <v>0</v>
      </c>
      <c r="T243" s="19">
        <f>[1]TOBEPAID!T181/1000</f>
        <v>0</v>
      </c>
      <c r="U243" s="19">
        <f>[1]TOBEPAID!U181/1000</f>
        <v>0</v>
      </c>
      <c r="V243" s="19">
        <f>[1]TOBEPAID!V181/1000</f>
        <v>0</v>
      </c>
      <c r="W243" s="19">
        <f>[1]TOBEPAID!W181/1000</f>
        <v>0</v>
      </c>
      <c r="X243" s="19">
        <f>[1]TOBEPAID!X181/1000</f>
        <v>0</v>
      </c>
      <c r="Y243" s="19">
        <f t="shared" si="40"/>
        <v>0</v>
      </c>
      <c r="Z243" s="19">
        <f t="shared" si="39"/>
        <v>434.40499999999997</v>
      </c>
      <c r="AA243" s="19">
        <f>[1]TOBEPAID!AA181/1000</f>
        <v>0</v>
      </c>
      <c r="AB243" s="19">
        <f>[1]TOBEPAID!AB181/1000</f>
        <v>434.40499999999997</v>
      </c>
      <c r="AC243" s="19"/>
      <c r="AD243" s="19"/>
    </row>
    <row r="244" spans="1:45" x14ac:dyDescent="0.2">
      <c r="A244" s="18"/>
      <c r="B244" s="17"/>
      <c r="C244" s="51"/>
      <c r="D244" s="21" t="s">
        <v>57</v>
      </c>
      <c r="E244" s="21" t="s">
        <v>57</v>
      </c>
      <c r="F244" s="21" t="s">
        <v>57</v>
      </c>
      <c r="G244" s="21"/>
      <c r="H244" s="21" t="s">
        <v>57</v>
      </c>
      <c r="I244" s="21" t="s">
        <v>57</v>
      </c>
      <c r="J244" s="21" t="s">
        <v>57</v>
      </c>
      <c r="K244" s="21" t="s">
        <v>57</v>
      </c>
      <c r="L244" s="21" t="s">
        <v>57</v>
      </c>
      <c r="M244" s="21"/>
      <c r="N244" s="21" t="s">
        <v>57</v>
      </c>
      <c r="O244" s="21" t="s">
        <v>57</v>
      </c>
      <c r="P244" s="21" t="s">
        <v>57</v>
      </c>
      <c r="Q244" s="21"/>
      <c r="R244" s="21" t="s">
        <v>57</v>
      </c>
      <c r="S244" s="21" t="s">
        <v>57</v>
      </c>
      <c r="T244" s="21" t="s">
        <v>57</v>
      </c>
      <c r="U244" s="21" t="s">
        <v>57</v>
      </c>
      <c r="V244" s="21" t="s">
        <v>57</v>
      </c>
      <c r="W244" s="21"/>
      <c r="X244" s="21" t="s">
        <v>57</v>
      </c>
      <c r="Y244" s="21" t="s">
        <v>57</v>
      </c>
      <c r="Z244" s="21" t="s">
        <v>57</v>
      </c>
      <c r="AA244" s="21" t="s">
        <v>57</v>
      </c>
      <c r="AB244" s="40" t="s">
        <v>118</v>
      </c>
      <c r="AC244" s="40"/>
      <c r="AD244" s="40"/>
    </row>
    <row r="245" spans="1:45" x14ac:dyDescent="0.2">
      <c r="A245" s="18"/>
      <c r="B245" s="17"/>
      <c r="C245" s="51"/>
      <c r="D245" s="46">
        <f>SUM(D236:D243)</f>
        <v>460492.40639000002</v>
      </c>
      <c r="E245" s="46">
        <f>SUM(E236:E243)</f>
        <v>144380.49031000002</v>
      </c>
      <c r="F245" s="46">
        <f>SUM(F236:F243)</f>
        <v>22000</v>
      </c>
      <c r="G245" s="46"/>
      <c r="H245" s="46">
        <f>SUM(H236:H243)</f>
        <v>432380.49004</v>
      </c>
      <c r="I245" s="46">
        <f>SUM(I236:I243)</f>
        <v>0</v>
      </c>
      <c r="J245" s="46">
        <f>SUM(J236:J243)</f>
        <v>0</v>
      </c>
      <c r="K245" s="46">
        <f>SUM(K236:K243)</f>
        <v>0</v>
      </c>
      <c r="L245" s="46">
        <f>SUM(L236:L243)</f>
        <v>0</v>
      </c>
      <c r="M245" s="46"/>
      <c r="N245" s="46">
        <f>SUM(N236:N243)</f>
        <v>166380.49031000002</v>
      </c>
      <c r="O245" s="46">
        <f>SUM(O236:O243)</f>
        <v>25219.991500000004</v>
      </c>
      <c r="P245" s="46">
        <f>SUM(P236:P243)</f>
        <v>0</v>
      </c>
      <c r="Q245" s="46"/>
      <c r="R245" s="46">
        <f>SUM(R236:R243)</f>
        <v>26955.498350000002</v>
      </c>
      <c r="S245" s="46">
        <f>SUM(S236:S243)</f>
        <v>0</v>
      </c>
      <c r="T245" s="46">
        <f>SUM(T236:T243)</f>
        <v>0</v>
      </c>
      <c r="U245" s="46">
        <f>SUM(U236:U243)</f>
        <v>0</v>
      </c>
      <c r="V245" s="46">
        <f>SUM(V236:V243)</f>
        <v>0</v>
      </c>
      <c r="W245" s="46"/>
      <c r="X245" s="46">
        <f>SUM(X236:X243)</f>
        <v>25219.991500000004</v>
      </c>
      <c r="Y245" s="46">
        <f>SUM(Y236:Y243)</f>
        <v>459335.98839000001</v>
      </c>
      <c r="Z245" s="46">
        <f>SUM(Z236:Z243)</f>
        <v>1156.4179999999999</v>
      </c>
      <c r="AA245" s="46">
        <f>SUM(AA236:AA243)</f>
        <v>0</v>
      </c>
      <c r="AB245" s="46">
        <f>SUM(AB236:AB243)</f>
        <v>1881.3087699999994</v>
      </c>
      <c r="AC245" s="46"/>
      <c r="AD245" s="46"/>
    </row>
    <row r="246" spans="1:45" x14ac:dyDescent="0.2">
      <c r="A246" s="18"/>
      <c r="B246" s="17"/>
      <c r="C246" s="51"/>
      <c r="D246" s="21" t="s">
        <v>57</v>
      </c>
      <c r="E246" s="21" t="s">
        <v>57</v>
      </c>
      <c r="F246" s="21" t="s">
        <v>57</v>
      </c>
      <c r="G246" s="21"/>
      <c r="H246" s="21" t="s">
        <v>57</v>
      </c>
      <c r="I246" s="21" t="s">
        <v>57</v>
      </c>
      <c r="J246" s="21" t="s">
        <v>57</v>
      </c>
      <c r="K246" s="21" t="s">
        <v>57</v>
      </c>
      <c r="L246" s="21" t="s">
        <v>57</v>
      </c>
      <c r="M246" s="21"/>
      <c r="N246" s="21" t="s">
        <v>57</v>
      </c>
      <c r="O246" s="21" t="s">
        <v>57</v>
      </c>
      <c r="P246" s="21" t="s">
        <v>57</v>
      </c>
      <c r="Q246" s="21"/>
      <c r="R246" s="21" t="s">
        <v>57</v>
      </c>
      <c r="S246" s="21" t="s">
        <v>57</v>
      </c>
      <c r="T246" s="21" t="s">
        <v>57</v>
      </c>
      <c r="U246" s="21" t="s">
        <v>57</v>
      </c>
      <c r="V246" s="21" t="s">
        <v>57</v>
      </c>
      <c r="W246" s="21"/>
      <c r="X246" s="21" t="s">
        <v>57</v>
      </c>
      <c r="Y246" s="21" t="s">
        <v>57</v>
      </c>
      <c r="Z246" s="21" t="s">
        <v>57</v>
      </c>
      <c r="AA246" s="21" t="s">
        <v>57</v>
      </c>
      <c r="AB246" s="40" t="s">
        <v>118</v>
      </c>
      <c r="AC246" s="40"/>
      <c r="AD246" s="40"/>
    </row>
    <row r="247" spans="1:45" x14ac:dyDescent="0.2">
      <c r="A247" s="18"/>
      <c r="B247" s="22"/>
      <c r="C247" s="51"/>
      <c r="D247" s="35"/>
      <c r="E247" s="21"/>
      <c r="F247" s="42"/>
      <c r="G247" s="28"/>
      <c r="H247" s="27"/>
      <c r="I247" s="28"/>
      <c r="J247" s="28"/>
      <c r="K247" s="28"/>
      <c r="L247" s="27"/>
      <c r="M247" s="28"/>
      <c r="N247" s="21"/>
      <c r="O247" s="35"/>
      <c r="P247" s="21"/>
      <c r="Q247" s="21"/>
      <c r="R247" s="21"/>
      <c r="S247" s="21"/>
      <c r="T247" s="21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</row>
    <row r="248" spans="1:45" x14ac:dyDescent="0.2">
      <c r="A248" s="18">
        <v>17</v>
      </c>
      <c r="B248" s="22" t="s">
        <v>153</v>
      </c>
      <c r="C248" s="17" t="s">
        <v>51</v>
      </c>
      <c r="D248" s="19">
        <f>11079011/1000</f>
        <v>11079.011</v>
      </c>
      <c r="E248" s="19">
        <f>[1]TOBEPAID!E186/1000</f>
        <v>0</v>
      </c>
      <c r="F248" s="19">
        <f>[1]TOBEPAID!F186/1000</f>
        <v>0</v>
      </c>
      <c r="G248" s="19">
        <f>[1]TOBEPAID!G186/1000</f>
        <v>0</v>
      </c>
      <c r="H248" s="19">
        <v>0</v>
      </c>
      <c r="I248" s="19">
        <f>[1]TOBEPAID!I186/1000</f>
        <v>0</v>
      </c>
      <c r="J248" s="19">
        <f>[1]TOBEPAID!J186/1000</f>
        <v>0</v>
      </c>
      <c r="K248" s="19">
        <f>[1]TOBEPAID!K186/1000</f>
        <v>0</v>
      </c>
      <c r="L248" s="19">
        <f>[1]TOBEPAID!L186/1000</f>
        <v>0</v>
      </c>
      <c r="M248" s="19">
        <f>[1]TOBEPAID!M186/1000</f>
        <v>0</v>
      </c>
      <c r="N248" s="19">
        <f>[1]TOBEPAID!N186/1000</f>
        <v>0</v>
      </c>
      <c r="O248" s="19">
        <f>[1]TOBEPAID!O186/1000</f>
        <v>0</v>
      </c>
      <c r="P248" s="19">
        <f>[1]TOBEPAID!P186/1000</f>
        <v>0</v>
      </c>
      <c r="Q248" s="19">
        <f>[1]TOBEPAID!Q186/1000</f>
        <v>0</v>
      </c>
      <c r="R248" s="19">
        <f>1727232.23/1000</f>
        <v>1727.2322300000001</v>
      </c>
      <c r="S248" s="19">
        <f>[1]TOBEPAID!S186/1000</f>
        <v>0</v>
      </c>
      <c r="T248" s="19">
        <f>[1]TOBEPAID!T186/1000</f>
        <v>0</v>
      </c>
      <c r="U248" s="19">
        <f>[1]TOBEPAID!U186/1000</f>
        <v>0</v>
      </c>
      <c r="V248" s="19">
        <f>[1]TOBEPAID!V186/1000</f>
        <v>0</v>
      </c>
      <c r="W248" s="19">
        <f>[1]TOBEPAID!W186/1000</f>
        <v>0</v>
      </c>
      <c r="X248" s="19">
        <f>[1]TOBEPAID!X186/1000</f>
        <v>0</v>
      </c>
      <c r="Y248" s="19">
        <f>+H248+R248</f>
        <v>1727.2322300000001</v>
      </c>
      <c r="Z248" s="19">
        <f>+D248-Y248</f>
        <v>9351.7787700000008</v>
      </c>
      <c r="AA248" s="19">
        <f>[1]TOBEPAID!AA186/1000</f>
        <v>0</v>
      </c>
      <c r="AB248" s="19">
        <f>[1]TOBEPAID!AB186/1000</f>
        <v>11079.01172</v>
      </c>
      <c r="AC248" s="19"/>
      <c r="AD248" s="19"/>
    </row>
    <row r="249" spans="1:45" x14ac:dyDescent="0.2">
      <c r="A249" s="18"/>
      <c r="B249" s="22"/>
      <c r="C249" s="17" t="s">
        <v>154</v>
      </c>
      <c r="D249" s="19">
        <f>5097746/1000</f>
        <v>5097.7460000000001</v>
      </c>
      <c r="E249" s="19">
        <f>[1]TOBEPAID!E187/1000</f>
        <v>5097.7460000000001</v>
      </c>
      <c r="F249" s="19">
        <f>[1]TOBEPAID!F187/1000</f>
        <v>0</v>
      </c>
      <c r="G249" s="19">
        <f>[1]TOBEPAID!G187/1000</f>
        <v>0</v>
      </c>
      <c r="H249" s="19">
        <f>5097746/1000</f>
        <v>5097.7460000000001</v>
      </c>
      <c r="I249" s="19">
        <f>[1]TOBEPAID!I187/1000</f>
        <v>0</v>
      </c>
      <c r="J249" s="19">
        <f>[1]TOBEPAID!J187/1000</f>
        <v>0</v>
      </c>
      <c r="K249" s="19">
        <f>[1]TOBEPAID!K187/1000</f>
        <v>0</v>
      </c>
      <c r="L249" s="19">
        <f>[1]TOBEPAID!L187/1000</f>
        <v>0</v>
      </c>
      <c r="M249" s="19">
        <f>[1]TOBEPAID!M187/1000</f>
        <v>0</v>
      </c>
      <c r="N249" s="19">
        <f>[1]TOBEPAID!N187/1000</f>
        <v>5097.7460000000001</v>
      </c>
      <c r="O249" s="19">
        <f>[1]TOBEPAID!O187/1000</f>
        <v>0</v>
      </c>
      <c r="P249" s="19">
        <f>[1]TOBEPAID!P187/1000</f>
        <v>0</v>
      </c>
      <c r="Q249" s="19">
        <f>[1]TOBEPAID!Q187/1000</f>
        <v>0</v>
      </c>
      <c r="R249" s="19">
        <v>0</v>
      </c>
      <c r="S249" s="19">
        <f>[1]TOBEPAID!S187/1000</f>
        <v>0</v>
      </c>
      <c r="T249" s="19">
        <f>[1]TOBEPAID!T187/1000</f>
        <v>0</v>
      </c>
      <c r="U249" s="19">
        <f>[1]TOBEPAID!U187/1000</f>
        <v>0</v>
      </c>
      <c r="V249" s="19">
        <f>[1]TOBEPAID!V187/1000</f>
        <v>0</v>
      </c>
      <c r="W249" s="19">
        <f>[1]TOBEPAID!W187/1000</f>
        <v>0</v>
      </c>
      <c r="X249" s="19">
        <f>[1]TOBEPAID!X187/1000</f>
        <v>0</v>
      </c>
      <c r="Y249" s="19">
        <f>+H249+R249</f>
        <v>5097.7460000000001</v>
      </c>
      <c r="Z249" s="19">
        <f>+D249-Y249</f>
        <v>0</v>
      </c>
      <c r="AA249" s="19">
        <f>[1]TOBEPAID!AA187/1000</f>
        <v>0</v>
      </c>
      <c r="AB249" s="19">
        <f>[1]TOBEPAID!AB187/1000</f>
        <v>0</v>
      </c>
      <c r="AC249" s="19"/>
      <c r="AD249" s="19"/>
      <c r="AS249" s="34">
        <f>+AF250-AK250-AP250</f>
        <v>8.9844000001903623E-2</v>
      </c>
    </row>
    <row r="250" spans="1:45" x14ac:dyDescent="0.2">
      <c r="C250" s="3" t="s">
        <v>53</v>
      </c>
      <c r="D250" s="19">
        <f>3556595/1000</f>
        <v>3556.5949999999998</v>
      </c>
      <c r="E250" s="19">
        <f>[1]TOBEPAID!E188/1000</f>
        <v>3556.5949999999998</v>
      </c>
      <c r="F250" s="19">
        <f>[1]TOBEPAID!F188/1000</f>
        <v>0</v>
      </c>
      <c r="G250" s="19">
        <f>[1]TOBEPAID!G188/1000</f>
        <v>0</v>
      </c>
      <c r="H250" s="19">
        <f>3556595/1000</f>
        <v>3556.5949999999998</v>
      </c>
      <c r="I250" s="19">
        <f>[1]TOBEPAID!I188/1000</f>
        <v>0</v>
      </c>
      <c r="J250" s="19">
        <f>[1]TOBEPAID!J188/1000</f>
        <v>0</v>
      </c>
      <c r="K250" s="19">
        <f>[1]TOBEPAID!K188/1000</f>
        <v>0</v>
      </c>
      <c r="L250" s="19">
        <f>[1]TOBEPAID!L188/1000</f>
        <v>0</v>
      </c>
      <c r="M250" s="19">
        <f>[1]TOBEPAID!M188/1000</f>
        <v>0</v>
      </c>
      <c r="N250" s="19">
        <f>[1]TOBEPAID!N188/1000</f>
        <v>3556.5949999999998</v>
      </c>
      <c r="O250" s="19">
        <f>[1]TOBEPAID!O188/1000</f>
        <v>0</v>
      </c>
      <c r="P250" s="19">
        <f>[1]TOBEPAID!P188/1000</f>
        <v>0</v>
      </c>
      <c r="Q250" s="19">
        <f>[1]TOBEPAID!Q188/1000</f>
        <v>0</v>
      </c>
      <c r="R250" s="19">
        <v>0</v>
      </c>
      <c r="S250" s="19">
        <f>[1]TOBEPAID!S188/1000</f>
        <v>0</v>
      </c>
      <c r="T250" s="19">
        <f>[1]TOBEPAID!T188/1000</f>
        <v>0</v>
      </c>
      <c r="U250" s="19">
        <f>[1]TOBEPAID!U188/1000</f>
        <v>0</v>
      </c>
      <c r="V250" s="19">
        <f>[1]TOBEPAID!V188/1000</f>
        <v>0</v>
      </c>
      <c r="W250" s="19">
        <f>[1]TOBEPAID!W188/1000</f>
        <v>0</v>
      </c>
      <c r="X250" s="19">
        <f>[1]TOBEPAID!X188/1000</f>
        <v>0</v>
      </c>
      <c r="Y250" s="19">
        <f>+H250+R250</f>
        <v>3556.5949999999998</v>
      </c>
      <c r="Z250" s="19">
        <f>+D250-Y250</f>
        <v>0</v>
      </c>
      <c r="AA250" s="19">
        <f>[1]TOBEPAID!AA188/1000</f>
        <v>0</v>
      </c>
      <c r="AB250" s="19">
        <f>[1]TOBEPAID!AB188/1000</f>
        <v>0</v>
      </c>
      <c r="AC250" s="19"/>
      <c r="AD250" s="19"/>
      <c r="AF250" s="34">
        <f>+D250+D208+D186+D258</f>
        <v>21375.287</v>
      </c>
      <c r="AG250" s="34">
        <f>+E250+E208+E186+E258</f>
        <v>21375.197155999998</v>
      </c>
      <c r="AH250" s="34">
        <f>+F250+F208+F186+F258</f>
        <v>0</v>
      </c>
      <c r="AI250" s="34">
        <f t="shared" ref="AI250:AI257" si="41">+AG250+AH250</f>
        <v>21375.197155999998</v>
      </c>
      <c r="AJ250" s="34">
        <f>+L250+L208+L186+L258</f>
        <v>0</v>
      </c>
      <c r="AK250" s="34">
        <f t="shared" ref="AK250:AK257" si="42">+AI250+AJ250</f>
        <v>21375.197155999998</v>
      </c>
      <c r="AL250" s="34">
        <f>+O250+O208+O186+O258</f>
        <v>0</v>
      </c>
      <c r="AM250" s="34">
        <f>+P208+P250+P186+P258</f>
        <v>0</v>
      </c>
      <c r="AN250" s="34">
        <f t="shared" ref="AN250:AN257" si="43">+AL250+AM250</f>
        <v>0</v>
      </c>
      <c r="AO250" s="34">
        <f>+V250+V208+V186+V258</f>
        <v>0</v>
      </c>
      <c r="AP250" s="34">
        <f t="shared" ref="AP250:AP257" si="44">+AN250+AO250</f>
        <v>0</v>
      </c>
      <c r="AQ250" s="34">
        <f t="shared" ref="AQ250:AQ263" si="45">+AI250+AN250</f>
        <v>21375.197155999998</v>
      </c>
      <c r="AR250" s="34">
        <f t="shared" ref="AR250:AR256" si="46">+AF250-AQ250</f>
        <v>8.9844000001903623E-2</v>
      </c>
      <c r="AS250" s="34"/>
    </row>
    <row r="251" spans="1:45" x14ac:dyDescent="0.2">
      <c r="A251" s="18"/>
      <c r="B251" s="22"/>
      <c r="C251" s="51" t="s">
        <v>96</v>
      </c>
      <c r="D251" s="19">
        <f>10893520/1000</f>
        <v>10893.52</v>
      </c>
      <c r="E251" s="19">
        <f>[1]TOBEPAID!E189/1000</f>
        <v>0</v>
      </c>
      <c r="F251" s="19">
        <f>[1]TOBEPAID!F189/1000</f>
        <v>0</v>
      </c>
      <c r="G251" s="19">
        <f>[1]TOBEPAID!G189/1000</f>
        <v>0</v>
      </c>
      <c r="H251" s="19">
        <v>0</v>
      </c>
      <c r="I251" s="19">
        <f>[1]TOBEPAID!I189/1000</f>
        <v>0</v>
      </c>
      <c r="J251" s="19">
        <f>[1]TOBEPAID!J189/1000</f>
        <v>0</v>
      </c>
      <c r="K251" s="19">
        <f>[1]TOBEPAID!K189/1000</f>
        <v>0</v>
      </c>
      <c r="L251" s="19">
        <f>[1]TOBEPAID!L189/1000</f>
        <v>0</v>
      </c>
      <c r="M251" s="19">
        <f>[1]TOBEPAID!M189/1000</f>
        <v>0</v>
      </c>
      <c r="N251" s="19">
        <f>[1]TOBEPAID!N189/1000</f>
        <v>0</v>
      </c>
      <c r="O251" s="19">
        <f>[1]TOBEPAID!O189/1000</f>
        <v>5530.0031900000004</v>
      </c>
      <c r="P251" s="19">
        <f>[1]TOBEPAID!P189/1000</f>
        <v>0</v>
      </c>
      <c r="Q251" s="19">
        <f>[1]TOBEPAID!Q189/1000</f>
        <v>0</v>
      </c>
      <c r="R251" s="19">
        <f>5530003/1000</f>
        <v>5530.0029999999997</v>
      </c>
      <c r="S251" s="19">
        <f>[1]TOBEPAID!S189/1000</f>
        <v>0</v>
      </c>
      <c r="T251" s="19">
        <f>[1]TOBEPAID!T189/1000</f>
        <v>0</v>
      </c>
      <c r="U251" s="19">
        <f>[1]TOBEPAID!U189/1000</f>
        <v>0</v>
      </c>
      <c r="V251" s="19">
        <f>[1]TOBEPAID!V189/1000</f>
        <v>0</v>
      </c>
      <c r="W251" s="19">
        <f>[1]TOBEPAID!W189/1000</f>
        <v>0</v>
      </c>
      <c r="X251" s="19">
        <f>[1]TOBEPAID!X189/1000</f>
        <v>5530.0031900000004</v>
      </c>
      <c r="Y251" s="19">
        <f>+H251+R251</f>
        <v>5530.0029999999997</v>
      </c>
      <c r="Z251" s="19">
        <f>+D251-Y251</f>
        <v>5363.5170000000007</v>
      </c>
      <c r="AA251" s="19">
        <f>[1]TOBEPAID!AA189/1000</f>
        <v>0</v>
      </c>
      <c r="AB251" s="19">
        <f>[1]TOBEPAID!AB189/1000</f>
        <v>5363.5173499999983</v>
      </c>
      <c r="AC251" s="19"/>
      <c r="AD251" s="19"/>
      <c r="AE251" s="25" t="s">
        <v>72</v>
      </c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>
        <f t="shared" ref="AS251:AS256" si="47">+AF252-AK252-AP252</f>
        <v>0</v>
      </c>
    </row>
    <row r="252" spans="1:45" x14ac:dyDescent="0.2">
      <c r="A252" s="18"/>
      <c r="B252" s="17"/>
      <c r="C252" s="51" t="s">
        <v>97</v>
      </c>
      <c r="D252" s="19">
        <f>5603896/1000</f>
        <v>5603.8959999999997</v>
      </c>
      <c r="E252" s="19">
        <f>[1]TOBEPAID!E190/1000</f>
        <v>0</v>
      </c>
      <c r="F252" s="19">
        <f>[1]TOBEPAID!F190/1000</f>
        <v>0</v>
      </c>
      <c r="G252" s="19">
        <f>[1]TOBEPAID!G190/1000</f>
        <v>0</v>
      </c>
      <c r="H252" s="19">
        <v>0</v>
      </c>
      <c r="I252" s="19">
        <f>[1]TOBEPAID!I190/1000</f>
        <v>0</v>
      </c>
      <c r="J252" s="19">
        <f>[1]TOBEPAID!J190/1000</f>
        <v>0</v>
      </c>
      <c r="K252" s="19">
        <f>[1]TOBEPAID!K190/1000</f>
        <v>0</v>
      </c>
      <c r="L252" s="19">
        <f>[1]TOBEPAID!L190/1000</f>
        <v>0</v>
      </c>
      <c r="M252" s="19">
        <f>[1]TOBEPAID!M190/1000</f>
        <v>0</v>
      </c>
      <c r="N252" s="19">
        <f>[1]TOBEPAID!N190/1000</f>
        <v>0</v>
      </c>
      <c r="O252" s="19">
        <f>[1]TOBEPAID!O190/1000</f>
        <v>5603.8962599999995</v>
      </c>
      <c r="P252" s="19">
        <f>[1]TOBEPAID!P190/1000</f>
        <v>0</v>
      </c>
      <c r="Q252" s="19">
        <f>[1]TOBEPAID!Q190/1000</f>
        <v>0</v>
      </c>
      <c r="R252" s="19">
        <f>5603896/1000</f>
        <v>5603.8959999999997</v>
      </c>
      <c r="S252" s="19">
        <f>[1]TOBEPAID!S190/1000</f>
        <v>0</v>
      </c>
      <c r="T252" s="19">
        <f>[1]TOBEPAID!T190/1000</f>
        <v>0</v>
      </c>
      <c r="U252" s="19">
        <f>[1]TOBEPAID!U190/1000</f>
        <v>0</v>
      </c>
      <c r="V252" s="19">
        <f>[1]TOBEPAID!V190/1000</f>
        <v>0</v>
      </c>
      <c r="W252" s="19">
        <f>[1]TOBEPAID!W190/1000</f>
        <v>0</v>
      </c>
      <c r="X252" s="19">
        <f>[1]TOBEPAID!X190/1000</f>
        <v>5603.8962599999995</v>
      </c>
      <c r="Y252" s="19">
        <f>+H252+R252</f>
        <v>5603.8959999999997</v>
      </c>
      <c r="Z252" s="19">
        <f>+D252-Y252</f>
        <v>0</v>
      </c>
      <c r="AA252" s="19">
        <f>[1]TOBEPAID!AA190/1000</f>
        <v>0</v>
      </c>
      <c r="AB252" s="19">
        <f>[1]TOBEPAID!AB190/1000</f>
        <v>0</v>
      </c>
      <c r="AC252" s="19"/>
      <c r="AD252" s="19"/>
      <c r="AE252" s="25"/>
      <c r="AF252" s="34">
        <f>+D172+D238</f>
        <v>13389</v>
      </c>
      <c r="AG252" s="34">
        <f>+E172+E238</f>
        <v>13389</v>
      </c>
      <c r="AH252" s="34">
        <f>+F172+F238</f>
        <v>0</v>
      </c>
      <c r="AI252" s="34">
        <f t="shared" si="41"/>
        <v>13389</v>
      </c>
      <c r="AJ252" s="34">
        <f>+L172+L238+L689</f>
        <v>0</v>
      </c>
      <c r="AK252" s="34">
        <f t="shared" si="42"/>
        <v>13389</v>
      </c>
      <c r="AL252" s="34">
        <f>+O172+O238+O689</f>
        <v>0</v>
      </c>
      <c r="AM252" s="34">
        <f>+P172+P238+P689</f>
        <v>0</v>
      </c>
      <c r="AN252" s="34">
        <f t="shared" si="43"/>
        <v>0</v>
      </c>
      <c r="AO252" s="34">
        <f>+V172+V238+V689</f>
        <v>0</v>
      </c>
      <c r="AP252" s="34">
        <f t="shared" si="44"/>
        <v>0</v>
      </c>
      <c r="AQ252" s="34">
        <f t="shared" si="45"/>
        <v>13389</v>
      </c>
      <c r="AR252" s="34">
        <f t="shared" si="46"/>
        <v>0</v>
      </c>
      <c r="AS252" s="34">
        <f t="shared" si="47"/>
        <v>156384.07673999999</v>
      </c>
    </row>
    <row r="253" spans="1:45" x14ac:dyDescent="0.2">
      <c r="A253" s="18"/>
      <c r="B253" s="17"/>
      <c r="C253" s="51"/>
      <c r="D253" s="21" t="s">
        <v>57</v>
      </c>
      <c r="E253" s="21" t="s">
        <v>57</v>
      </c>
      <c r="F253" s="21" t="s">
        <v>57</v>
      </c>
      <c r="G253" s="21"/>
      <c r="H253" s="21" t="s">
        <v>57</v>
      </c>
      <c r="I253" s="21" t="s">
        <v>57</v>
      </c>
      <c r="J253" s="21" t="s">
        <v>57</v>
      </c>
      <c r="K253" s="21" t="s">
        <v>57</v>
      </c>
      <c r="L253" s="21" t="s">
        <v>57</v>
      </c>
      <c r="M253" s="21"/>
      <c r="N253" s="21" t="s">
        <v>57</v>
      </c>
      <c r="O253" s="21" t="s">
        <v>57</v>
      </c>
      <c r="P253" s="21" t="s">
        <v>57</v>
      </c>
      <c r="Q253" s="21"/>
      <c r="R253" s="21" t="s">
        <v>57</v>
      </c>
      <c r="S253" s="21" t="s">
        <v>57</v>
      </c>
      <c r="T253" s="21" t="s">
        <v>57</v>
      </c>
      <c r="U253" s="21" t="s">
        <v>57</v>
      </c>
      <c r="V253" s="21" t="s">
        <v>57</v>
      </c>
      <c r="W253" s="21"/>
      <c r="X253" s="21" t="s">
        <v>57</v>
      </c>
      <c r="Y253" s="21" t="s">
        <v>57</v>
      </c>
      <c r="Z253" s="21" t="s">
        <v>57</v>
      </c>
      <c r="AA253" s="21" t="s">
        <v>57</v>
      </c>
      <c r="AB253" s="40" t="s">
        <v>118</v>
      </c>
      <c r="AC253" s="40"/>
      <c r="AD253" s="40"/>
      <c r="AE253" s="33" t="s">
        <v>78</v>
      </c>
      <c r="AF253" s="34">
        <f>D167+D184+D204+D224+D236+D248+D257</f>
        <v>159555.49742</v>
      </c>
      <c r="AG253" s="34">
        <f>E167+E184+E204+E224+E236+E248+E257</f>
        <v>0</v>
      </c>
      <c r="AH253" s="34">
        <f>F167+F184+F204+F224+F236+F248+F257</f>
        <v>0</v>
      </c>
      <c r="AI253" s="34">
        <f t="shared" si="41"/>
        <v>0</v>
      </c>
      <c r="AJ253" s="34">
        <f>L167+L184+L204+L224+L236+L248+L257</f>
        <v>0</v>
      </c>
      <c r="AK253" s="34">
        <f t="shared" si="42"/>
        <v>0</v>
      </c>
      <c r="AL253" s="34">
        <f>O167+O184+O204+O224+O236+O248+O257</f>
        <v>3171.4206799999997</v>
      </c>
      <c r="AM253" s="34">
        <f>P167+P184+P204+P224+P236+P248+P257</f>
        <v>0</v>
      </c>
      <c r="AN253" s="34">
        <f t="shared" si="43"/>
        <v>3171.4206799999997</v>
      </c>
      <c r="AO253" s="34">
        <f>V167+V184+V204+V224+V236+V248+V257</f>
        <v>0</v>
      </c>
      <c r="AP253" s="34">
        <f t="shared" si="44"/>
        <v>3171.4206799999997</v>
      </c>
      <c r="AQ253" s="34">
        <f t="shared" si="45"/>
        <v>3171.4206799999997</v>
      </c>
      <c r="AR253" s="34">
        <f t="shared" si="46"/>
        <v>156384.07673999999</v>
      </c>
      <c r="AS253" s="34">
        <f t="shared" si="47"/>
        <v>0</v>
      </c>
    </row>
    <row r="254" spans="1:45" x14ac:dyDescent="0.2">
      <c r="A254" s="18"/>
      <c r="B254" s="22"/>
      <c r="C254" s="51"/>
      <c r="D254" s="35">
        <f>SUM(D248:D252)</f>
        <v>36230.768000000004</v>
      </c>
      <c r="E254" s="35">
        <f>SUM(E248:E252)</f>
        <v>8654.3410000000003</v>
      </c>
      <c r="F254" s="35">
        <f>SUM(F248:F252)</f>
        <v>0</v>
      </c>
      <c r="G254" s="35"/>
      <c r="H254" s="35">
        <f>SUM(H248:H252)</f>
        <v>8654.3410000000003</v>
      </c>
      <c r="I254" s="35">
        <f>SUM(I248:I252)</f>
        <v>0</v>
      </c>
      <c r="J254" s="35">
        <f>SUM(J248:J252)</f>
        <v>0</v>
      </c>
      <c r="K254" s="35">
        <f>SUM(K248:K252)</f>
        <v>0</v>
      </c>
      <c r="L254" s="35">
        <f>SUM(L248:L252)</f>
        <v>0</v>
      </c>
      <c r="M254" s="35"/>
      <c r="N254" s="35">
        <f>SUM(N248:N252)</f>
        <v>8654.3410000000003</v>
      </c>
      <c r="O254" s="35">
        <f>SUM(O248:O252)</f>
        <v>11133.899450000001</v>
      </c>
      <c r="P254" s="35">
        <f>SUM(P248:P252)</f>
        <v>0</v>
      </c>
      <c r="Q254" s="35"/>
      <c r="R254" s="35">
        <f>SUM(R248:R252)</f>
        <v>12861.131229999999</v>
      </c>
      <c r="S254" s="35">
        <f>SUM(S248:S252)</f>
        <v>0</v>
      </c>
      <c r="T254" s="35">
        <f>SUM(T248:T252)</f>
        <v>0</v>
      </c>
      <c r="U254" s="35">
        <f>SUM(U248:U252)</f>
        <v>0</v>
      </c>
      <c r="V254" s="35">
        <f>SUM(V248:V252)</f>
        <v>0</v>
      </c>
      <c r="W254" s="35"/>
      <c r="X254" s="35">
        <f>SUM(X248:X252)</f>
        <v>11133.899450000001</v>
      </c>
      <c r="Y254" s="35">
        <f>SUM(Y248:Y252)</f>
        <v>21515.472229999999</v>
      </c>
      <c r="Z254" s="35">
        <f>SUM(Z248:Z252)</f>
        <v>14715.295770000001</v>
      </c>
      <c r="AA254" s="35">
        <f>SUM(AA248:AA252)</f>
        <v>0</v>
      </c>
      <c r="AB254" s="35">
        <f>SUM(AB248:AB252)</f>
        <v>16442.529069999997</v>
      </c>
      <c r="AC254" s="35"/>
      <c r="AD254" s="35"/>
      <c r="AE254" s="25" t="s">
        <v>85</v>
      </c>
      <c r="AF254" s="34">
        <f>D171+D205+D225+D237</f>
        <v>10560.642</v>
      </c>
      <c r="AG254" s="34">
        <f>E171+E205+E225+E237</f>
        <v>10560.642</v>
      </c>
      <c r="AH254" s="34">
        <f>F171+F205+F225+F237</f>
        <v>0</v>
      </c>
      <c r="AI254" s="34">
        <f t="shared" si="41"/>
        <v>10560.642</v>
      </c>
      <c r="AJ254" s="34">
        <f>L171+L205+L225+L237</f>
        <v>0</v>
      </c>
      <c r="AK254" s="34">
        <f t="shared" si="42"/>
        <v>10560.642</v>
      </c>
      <c r="AL254" s="34">
        <f>O171+O205+O225+O237</f>
        <v>0</v>
      </c>
      <c r="AM254" s="34">
        <f>P171+P205+P225+P237</f>
        <v>0</v>
      </c>
      <c r="AN254" s="34">
        <f t="shared" si="43"/>
        <v>0</v>
      </c>
      <c r="AO254" s="34">
        <f>V171+V205+V225+V237</f>
        <v>0</v>
      </c>
      <c r="AP254" s="34">
        <f t="shared" si="44"/>
        <v>0</v>
      </c>
      <c r="AQ254" s="34">
        <f t="shared" si="45"/>
        <v>10560.642</v>
      </c>
      <c r="AR254" s="34">
        <f t="shared" si="46"/>
        <v>0</v>
      </c>
      <c r="AS254" s="34">
        <f t="shared" si="47"/>
        <v>5942.7578799999901</v>
      </c>
    </row>
    <row r="255" spans="1:45" x14ac:dyDescent="0.2">
      <c r="A255" s="18"/>
      <c r="B255" s="22"/>
      <c r="C255" s="51"/>
      <c r="D255" s="21" t="s">
        <v>57</v>
      </c>
      <c r="E255" s="21" t="s">
        <v>57</v>
      </c>
      <c r="F255" s="21" t="s">
        <v>57</v>
      </c>
      <c r="G255" s="21"/>
      <c r="H255" s="21" t="s">
        <v>57</v>
      </c>
      <c r="I255" s="21" t="s">
        <v>57</v>
      </c>
      <c r="J255" s="21" t="s">
        <v>57</v>
      </c>
      <c r="K255" s="21" t="s">
        <v>57</v>
      </c>
      <c r="L255" s="21" t="s">
        <v>57</v>
      </c>
      <c r="M255" s="21"/>
      <c r="N255" s="21" t="s">
        <v>57</v>
      </c>
      <c r="O255" s="21" t="s">
        <v>57</v>
      </c>
      <c r="P255" s="21" t="s">
        <v>57</v>
      </c>
      <c r="Q255" s="21"/>
      <c r="R255" s="21" t="s">
        <v>57</v>
      </c>
      <c r="S255" s="21" t="s">
        <v>57</v>
      </c>
      <c r="T255" s="21" t="s">
        <v>57</v>
      </c>
      <c r="U255" s="21" t="s">
        <v>57</v>
      </c>
      <c r="V255" s="21" t="s">
        <v>57</v>
      </c>
      <c r="W255" s="21"/>
      <c r="X255" s="21" t="s">
        <v>57</v>
      </c>
      <c r="Y255" s="21" t="s">
        <v>57</v>
      </c>
      <c r="Z255" s="21" t="s">
        <v>57</v>
      </c>
      <c r="AA255" s="21" t="s">
        <v>57</v>
      </c>
      <c r="AB255" s="40" t="s">
        <v>118</v>
      </c>
      <c r="AC255" s="40"/>
      <c r="AD255" s="40"/>
      <c r="AE255" s="25" t="s">
        <v>52</v>
      </c>
      <c r="AF255" s="34">
        <f>D177+D196+D206+D230+D241+D251</f>
        <v>95194.861109999998</v>
      </c>
      <c r="AG255" s="34">
        <f>E177+E196+E206+E230+E241+E251</f>
        <v>0</v>
      </c>
      <c r="AH255" s="34">
        <f>F177+F196+F206+F230+F241+F251</f>
        <v>0</v>
      </c>
      <c r="AI255" s="34">
        <f t="shared" si="41"/>
        <v>0</v>
      </c>
      <c r="AJ255" s="34">
        <f>L177+L196+L206+L230+L241+L251</f>
        <v>0</v>
      </c>
      <c r="AK255" s="34">
        <f t="shared" si="42"/>
        <v>0</v>
      </c>
      <c r="AL255" s="34">
        <f>O177+O196+O206+O230+O241+O251</f>
        <v>89252.103230000008</v>
      </c>
      <c r="AM255" s="34">
        <f>P177+P196+P206+P230+P241+P251</f>
        <v>0</v>
      </c>
      <c r="AN255" s="34">
        <f t="shared" si="43"/>
        <v>89252.103230000008</v>
      </c>
      <c r="AO255" s="34">
        <f>V177+V196+V206+V230+V241+V251</f>
        <v>0</v>
      </c>
      <c r="AP255" s="34">
        <f t="shared" si="44"/>
        <v>89252.103230000008</v>
      </c>
      <c r="AQ255" s="34">
        <f t="shared" si="45"/>
        <v>89252.103230000008</v>
      </c>
      <c r="AR255" s="34">
        <f t="shared" si="46"/>
        <v>5942.7578799999901</v>
      </c>
      <c r="AS255" s="34">
        <f t="shared" si="47"/>
        <v>2058.6085900000035</v>
      </c>
    </row>
    <row r="256" spans="1:45" x14ac:dyDescent="0.2">
      <c r="A256" s="18"/>
      <c r="B256" s="22"/>
      <c r="C256" s="51"/>
      <c r="D256" s="35"/>
      <c r="E256" s="21"/>
      <c r="F256" s="21"/>
      <c r="G256" s="21"/>
      <c r="H256" s="19"/>
      <c r="I256" s="21"/>
      <c r="J256" s="21"/>
      <c r="K256" s="21"/>
      <c r="L256" s="21"/>
      <c r="M256" s="21"/>
      <c r="N256" s="30"/>
      <c r="O256" s="35"/>
      <c r="P256" s="21"/>
      <c r="Q256" s="21"/>
      <c r="R256" s="21"/>
      <c r="S256" s="21"/>
      <c r="T256" s="21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25" t="s">
        <v>96</v>
      </c>
      <c r="AF256" s="34">
        <f>D179+D198+D207+D229+D242+D252</f>
        <v>24340.828000000001</v>
      </c>
      <c r="AG256" s="34">
        <f>E179+E198+E207+E229+E242+E252</f>
        <v>0</v>
      </c>
      <c r="AH256" s="34">
        <f>F179+F198+F207+F229+F242+F252</f>
        <v>0</v>
      </c>
      <c r="AI256" s="34">
        <f t="shared" si="41"/>
        <v>0</v>
      </c>
      <c r="AJ256" s="34">
        <f>L179+L198+L207+L229+L242+L252</f>
        <v>0</v>
      </c>
      <c r="AK256" s="34">
        <f t="shared" si="42"/>
        <v>0</v>
      </c>
      <c r="AL256" s="34">
        <f>O179+O198+O207+O229+O242+O252</f>
        <v>22282.219409999998</v>
      </c>
      <c r="AM256" s="34">
        <f>P179+P198+P207+P229+P242+P252</f>
        <v>0</v>
      </c>
      <c r="AN256" s="34">
        <f t="shared" si="43"/>
        <v>22282.219409999998</v>
      </c>
      <c r="AO256" s="34">
        <f>V179+V198+V207+V229+V242+V252</f>
        <v>0</v>
      </c>
      <c r="AP256" s="34">
        <f t="shared" si="44"/>
        <v>22282.219409999998</v>
      </c>
      <c r="AQ256" s="34">
        <f t="shared" si="45"/>
        <v>22282.219409999998</v>
      </c>
      <c r="AR256" s="34">
        <f t="shared" si="46"/>
        <v>2058.6085900000035</v>
      </c>
      <c r="AS256" s="34">
        <f t="shared" si="47"/>
        <v>-2.7000000022781023E-4</v>
      </c>
    </row>
    <row r="257" spans="1:45" x14ac:dyDescent="0.2">
      <c r="A257" s="18">
        <v>18</v>
      </c>
      <c r="B257" s="22" t="s">
        <v>155</v>
      </c>
      <c r="C257" s="17" t="s">
        <v>51</v>
      </c>
      <c r="D257" s="19">
        <f>802856/1000</f>
        <v>802.85599999999999</v>
      </c>
      <c r="E257" s="19">
        <f>[1]TOBEPAID!E195/1000</f>
        <v>0</v>
      </c>
      <c r="F257" s="19">
        <f>[1]TOBEPAID!F195/1000</f>
        <v>0</v>
      </c>
      <c r="G257" s="19">
        <f>[1]TOBEPAID!G195/1000</f>
        <v>0</v>
      </c>
      <c r="H257" s="19">
        <f>802000/1000</f>
        <v>802</v>
      </c>
      <c r="I257" s="19">
        <f>[1]TOBEPAID!I195/1000</f>
        <v>0</v>
      </c>
      <c r="J257" s="19">
        <f>[1]TOBEPAID!J195/1000</f>
        <v>0</v>
      </c>
      <c r="K257" s="19">
        <f>[1]TOBEPAID!K195/1000</f>
        <v>0</v>
      </c>
      <c r="L257" s="19">
        <f>[1]TOBEPAID!L195/1000</f>
        <v>0</v>
      </c>
      <c r="M257" s="19">
        <f>[1]TOBEPAID!M195/1000</f>
        <v>0</v>
      </c>
      <c r="N257" s="19">
        <f>[1]TOBEPAID!N195/1000</f>
        <v>0</v>
      </c>
      <c r="O257" s="19">
        <f>[1]TOBEPAID!O195/1000</f>
        <v>0</v>
      </c>
      <c r="P257" s="19">
        <f>[1]TOBEPAID!P195/1000</f>
        <v>0</v>
      </c>
      <c r="Q257" s="19">
        <f>[1]TOBEPAID!Q195/1000</f>
        <v>0</v>
      </c>
      <c r="R257" s="19">
        <v>0</v>
      </c>
      <c r="S257" s="19">
        <f>[1]TOBEPAID!S195/1000</f>
        <v>0</v>
      </c>
      <c r="T257" s="19">
        <f>[1]TOBEPAID!T195/1000</f>
        <v>0</v>
      </c>
      <c r="U257" s="19">
        <f>[1]TOBEPAID!U195/1000</f>
        <v>0</v>
      </c>
      <c r="V257" s="19">
        <f>[1]TOBEPAID!V195/1000</f>
        <v>0</v>
      </c>
      <c r="W257" s="19">
        <f>[1]TOBEPAID!W195/1000</f>
        <v>0</v>
      </c>
      <c r="X257" s="19">
        <f>[1]TOBEPAID!X195/1000</f>
        <v>0</v>
      </c>
      <c r="Y257" s="19">
        <f>+H257+R257</f>
        <v>802</v>
      </c>
      <c r="Z257" s="19">
        <f>+D257-Y257</f>
        <v>0.85599999999999454</v>
      </c>
      <c r="AA257" s="19">
        <f>[1]TOBEPAID!AA195/1000</f>
        <v>0</v>
      </c>
      <c r="AB257" s="19">
        <f>[1]TOBEPAID!AB195/1000</f>
        <v>36.31156</v>
      </c>
      <c r="AC257" s="19"/>
      <c r="AD257" s="19"/>
      <c r="AE257" s="25" t="s">
        <v>97</v>
      </c>
      <c r="AF257" s="34">
        <f>+D240</f>
        <v>1207.8699999999999</v>
      </c>
      <c r="AG257" s="34">
        <f>+E240</f>
        <v>1207.8702700000001</v>
      </c>
      <c r="AH257" s="34">
        <f>+F240</f>
        <v>0</v>
      </c>
      <c r="AI257" s="34">
        <f t="shared" si="41"/>
        <v>1207.8702700000001</v>
      </c>
      <c r="AJ257" s="34">
        <f>+L240</f>
        <v>0</v>
      </c>
      <c r="AK257" s="34">
        <f t="shared" si="42"/>
        <v>1207.8702700000001</v>
      </c>
      <c r="AL257" s="34">
        <f>+O240</f>
        <v>0</v>
      </c>
      <c r="AM257" s="34">
        <f>+P240</f>
        <v>0</v>
      </c>
      <c r="AN257" s="34">
        <f t="shared" si="43"/>
        <v>0</v>
      </c>
      <c r="AO257" s="34">
        <f>+V240</f>
        <v>0</v>
      </c>
      <c r="AP257" s="34">
        <f t="shared" si="44"/>
        <v>0</v>
      </c>
      <c r="AQ257" s="34">
        <f t="shared" si="45"/>
        <v>1207.8702700000001</v>
      </c>
      <c r="AR257" s="34">
        <f>+AF257-AQ257</f>
        <v>-2.7000000022781023E-4</v>
      </c>
      <c r="AS257" s="34" t="e">
        <f>+#REF!-#REF!</f>
        <v>#REF!</v>
      </c>
    </row>
    <row r="258" spans="1:45" x14ac:dyDescent="0.2">
      <c r="C258" s="3" t="s">
        <v>62</v>
      </c>
      <c r="D258" s="19">
        <f>733455/1000</f>
        <v>733.45500000000004</v>
      </c>
      <c r="E258" s="19">
        <f>[1]TOBEPAID!E197/1000</f>
        <v>733.45510000000002</v>
      </c>
      <c r="F258" s="19">
        <f>[1]TOBEPAID!F197/1000</f>
        <v>0</v>
      </c>
      <c r="G258" s="19">
        <f>[1]TOBEPAID!G197/1000</f>
        <v>0</v>
      </c>
      <c r="H258" s="19">
        <f>733455/1000</f>
        <v>733.45500000000004</v>
      </c>
      <c r="I258" s="19">
        <f>[1]TOBEPAID!I197/1000</f>
        <v>0</v>
      </c>
      <c r="J258" s="19">
        <f>[1]TOBEPAID!J197/1000</f>
        <v>0</v>
      </c>
      <c r="K258" s="19">
        <f>[1]TOBEPAID!K197/1000</f>
        <v>0</v>
      </c>
      <c r="L258" s="19">
        <f>[1]TOBEPAID!L197/1000</f>
        <v>0</v>
      </c>
      <c r="M258" s="19">
        <f>[1]TOBEPAID!M197/1000</f>
        <v>0</v>
      </c>
      <c r="N258" s="19">
        <f>[1]TOBEPAID!N197/1000</f>
        <v>733.45510000000002</v>
      </c>
      <c r="O258" s="19">
        <f>[1]TOBEPAID!O197/1000</f>
        <v>0</v>
      </c>
      <c r="P258" s="19">
        <f>[1]TOBEPAID!P197/1000</f>
        <v>0</v>
      </c>
      <c r="Q258" s="19">
        <f>[1]TOBEPAID!Q197/1000</f>
        <v>0</v>
      </c>
      <c r="R258" s="19">
        <v>0</v>
      </c>
      <c r="S258" s="19">
        <f>[1]TOBEPAID!S197/1000</f>
        <v>0</v>
      </c>
      <c r="T258" s="19">
        <f>[1]TOBEPAID!T197/1000</f>
        <v>0</v>
      </c>
      <c r="U258" s="19">
        <f>[1]TOBEPAID!U197/1000</f>
        <v>0</v>
      </c>
      <c r="V258" s="19">
        <f>[1]TOBEPAID!V197/1000</f>
        <v>0</v>
      </c>
      <c r="W258" s="19">
        <f>[1]TOBEPAID!W197/1000</f>
        <v>0</v>
      </c>
      <c r="X258" s="19">
        <f>[1]TOBEPAID!X197/1000</f>
        <v>0</v>
      </c>
      <c r="Y258" s="19">
        <f>+H258+R258</f>
        <v>733.45500000000004</v>
      </c>
      <c r="Z258" s="19">
        <f>+D258-Y258</f>
        <v>0</v>
      </c>
      <c r="AA258" s="19">
        <f>+E258-Z258</f>
        <v>733.45510000000002</v>
      </c>
      <c r="AB258" s="19">
        <f>[1]TOBEPAID!AB197/1000</f>
        <v>266.54490000000004</v>
      </c>
      <c r="AC258" s="19"/>
      <c r="AD258" s="19"/>
      <c r="AE258" s="25" t="s">
        <v>86</v>
      </c>
      <c r="AF258" s="34">
        <f>D178+D197+D261</f>
        <v>0</v>
      </c>
      <c r="AG258" s="34">
        <f>E178+E197+E261</f>
        <v>0</v>
      </c>
      <c r="AH258" s="34">
        <f>F178+F197+F261</f>
        <v>0</v>
      </c>
      <c r="AI258" s="34">
        <f>+AG258+AH258</f>
        <v>0</v>
      </c>
      <c r="AJ258" s="34">
        <f>L178+L197+L261</f>
        <v>0</v>
      </c>
      <c r="AK258" s="34">
        <f>+AI258+AJ258</f>
        <v>0</v>
      </c>
      <c r="AL258" s="34">
        <f>O178+O197+O261</f>
        <v>0</v>
      </c>
      <c r="AM258" s="34">
        <f>P178+P197+P261</f>
        <v>0</v>
      </c>
      <c r="AN258" s="34">
        <f>+AL258+AM258</f>
        <v>0</v>
      </c>
      <c r="AO258" s="34">
        <f>V178+V197+V261</f>
        <v>0</v>
      </c>
      <c r="AP258" s="34">
        <f>+AN258+AO258</f>
        <v>0</v>
      </c>
      <c r="AQ258" s="34">
        <f t="shared" si="45"/>
        <v>0</v>
      </c>
      <c r="AR258" s="34">
        <f>+AF258-AQ258</f>
        <v>0</v>
      </c>
      <c r="AS258" s="34">
        <f>+AF261-AK261-AP261</f>
        <v>-3.0999999944469891E-4</v>
      </c>
    </row>
    <row r="259" spans="1:45" x14ac:dyDescent="0.2">
      <c r="C259" s="3" t="s">
        <v>75</v>
      </c>
      <c r="D259" s="19">
        <f>5376924/1000</f>
        <v>5376.924</v>
      </c>
      <c r="E259" s="19"/>
      <c r="F259" s="19"/>
      <c r="G259" s="19"/>
      <c r="H259" s="19">
        <f>5376924/1000</f>
        <v>5376.924</v>
      </c>
      <c r="I259" s="19"/>
      <c r="J259" s="19"/>
      <c r="K259" s="19"/>
      <c r="L259" s="19"/>
      <c r="M259" s="19"/>
      <c r="N259" s="19"/>
      <c r="O259" s="19"/>
      <c r="P259" s="19"/>
      <c r="Q259" s="19"/>
      <c r="R259" s="19">
        <v>0</v>
      </c>
      <c r="S259" s="19"/>
      <c r="T259" s="19"/>
      <c r="U259" s="19"/>
      <c r="V259" s="19"/>
      <c r="W259" s="19"/>
      <c r="X259" s="19"/>
      <c r="Y259" s="19">
        <f>+H259+R259</f>
        <v>5376.924</v>
      </c>
      <c r="Z259" s="19">
        <f>+D259-Y259</f>
        <v>0</v>
      </c>
      <c r="AA259" s="19">
        <f>+E259-Z259</f>
        <v>0</v>
      </c>
      <c r="AB259" s="19"/>
      <c r="AC259" s="19"/>
      <c r="AD259" s="19"/>
      <c r="AE259" s="25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</row>
    <row r="260" spans="1:45" x14ac:dyDescent="0.2">
      <c r="C260" s="3" t="s">
        <v>136</v>
      </c>
      <c r="D260" s="19">
        <f>6716109.18/1000</f>
        <v>6716.1091799999995</v>
      </c>
      <c r="E260" s="19"/>
      <c r="F260" s="19"/>
      <c r="G260" s="19"/>
      <c r="H260" s="19">
        <f>6716109.18/1000</f>
        <v>6716.1091799999995</v>
      </c>
      <c r="I260" s="19"/>
      <c r="J260" s="19"/>
      <c r="K260" s="19"/>
      <c r="L260" s="19"/>
      <c r="M260" s="19"/>
      <c r="N260" s="19"/>
      <c r="O260" s="19"/>
      <c r="P260" s="19"/>
      <c r="Q260" s="19"/>
      <c r="R260" s="19">
        <v>0</v>
      </c>
      <c r="S260" s="19"/>
      <c r="T260" s="19"/>
      <c r="U260" s="19"/>
      <c r="V260" s="19"/>
      <c r="W260" s="19"/>
      <c r="X260" s="19"/>
      <c r="Y260" s="19">
        <f>+H260+R260</f>
        <v>6716.1091799999995</v>
      </c>
      <c r="Z260" s="19">
        <f>+D260-Y260</f>
        <v>0</v>
      </c>
      <c r="AA260" s="19"/>
      <c r="AB260" s="19"/>
      <c r="AC260" s="19"/>
      <c r="AD260" s="19"/>
      <c r="AE260" s="25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</row>
    <row r="261" spans="1:45" x14ac:dyDescent="0.2">
      <c r="A261" s="18"/>
      <c r="B261" s="17"/>
      <c r="C261" s="51" t="s">
        <v>55</v>
      </c>
      <c r="D261" s="19">
        <v>0</v>
      </c>
      <c r="E261" s="19">
        <f>[1]TOBEPAID!E198/1000</f>
        <v>0</v>
      </c>
      <c r="F261" s="19">
        <f>[1]TOBEPAID!F198/1000</f>
        <v>0</v>
      </c>
      <c r="G261" s="19">
        <f>[1]TOBEPAID!G198/1000</f>
        <v>0</v>
      </c>
      <c r="H261" s="19">
        <v>0</v>
      </c>
      <c r="I261" s="19">
        <f>[1]TOBEPAID!I198/1000</f>
        <v>0</v>
      </c>
      <c r="J261" s="19">
        <f>[1]TOBEPAID!J198/1000</f>
        <v>0</v>
      </c>
      <c r="K261" s="19">
        <f>[1]TOBEPAID!K198/1000</f>
        <v>0</v>
      </c>
      <c r="L261" s="19">
        <f>[1]TOBEPAID!L198/1000</f>
        <v>0</v>
      </c>
      <c r="M261" s="19">
        <f>[1]TOBEPAID!M198/1000</f>
        <v>0</v>
      </c>
      <c r="N261" s="19">
        <f>[1]TOBEPAID!N198/1000</f>
        <v>0</v>
      </c>
      <c r="O261" s="19">
        <f>[1]TOBEPAID!O198/1000</f>
        <v>0</v>
      </c>
      <c r="P261" s="19">
        <f>[1]TOBEPAID!P198/1000</f>
        <v>0</v>
      </c>
      <c r="Q261" s="19">
        <f>[1]TOBEPAID!Q198/1000</f>
        <v>0</v>
      </c>
      <c r="R261" s="19">
        <v>0</v>
      </c>
      <c r="S261" s="19">
        <f>[1]TOBEPAID!S198/1000</f>
        <v>0</v>
      </c>
      <c r="T261" s="19">
        <f>[1]TOBEPAID!T198/1000</f>
        <v>0</v>
      </c>
      <c r="U261" s="19">
        <f>[1]TOBEPAID!U198/1000</f>
        <v>0</v>
      </c>
      <c r="V261" s="19">
        <f>[1]TOBEPAID!V198/1000</f>
        <v>0</v>
      </c>
      <c r="W261" s="19">
        <f>[1]TOBEPAID!W198/1000</f>
        <v>0</v>
      </c>
      <c r="X261" s="19">
        <f>[1]TOBEPAID!X198/1000</f>
        <v>0</v>
      </c>
      <c r="Y261" s="19">
        <f>+H261+R261</f>
        <v>0</v>
      </c>
      <c r="Z261" s="19">
        <f>+D261-Y261</f>
        <v>0</v>
      </c>
      <c r="AA261" s="19">
        <f>+E261-Z261</f>
        <v>0</v>
      </c>
      <c r="AB261" s="19">
        <f>[1]TOBEPAID!AB198/1000</f>
        <v>500</v>
      </c>
      <c r="AC261" s="19"/>
      <c r="AD261" s="19"/>
      <c r="AE261" s="25" t="s">
        <v>55</v>
      </c>
      <c r="AF261" s="34">
        <f>D215+D231+D249</f>
        <v>14279.036</v>
      </c>
      <c r="AG261" s="34">
        <f>E215+E231+E249</f>
        <v>14279.03631</v>
      </c>
      <c r="AH261" s="34">
        <f>F215+F231+F249</f>
        <v>0</v>
      </c>
      <c r="AI261" s="34">
        <f>+AG261+AH261</f>
        <v>14279.03631</v>
      </c>
      <c r="AJ261" s="34">
        <f>L215+L231+L249</f>
        <v>0</v>
      </c>
      <c r="AK261" s="34">
        <f>+AI261+AJ261</f>
        <v>14279.03631</v>
      </c>
      <c r="AL261" s="34">
        <f>O215+O231+O249</f>
        <v>0</v>
      </c>
      <c r="AM261" s="34">
        <f>P215+P231+P249</f>
        <v>0</v>
      </c>
      <c r="AN261" s="34">
        <f>+AL261+AM261</f>
        <v>0</v>
      </c>
      <c r="AO261" s="34">
        <f>V215+V231+V249</f>
        <v>0</v>
      </c>
      <c r="AP261" s="34">
        <f>+AN261+AO261</f>
        <v>0</v>
      </c>
      <c r="AQ261" s="34">
        <f t="shared" si="45"/>
        <v>14279.03631</v>
      </c>
      <c r="AR261" s="34">
        <f>+AF261-AQ261</f>
        <v>-3.0999999944469891E-4</v>
      </c>
      <c r="AS261" s="34">
        <f>+AF262-AK262-AP262</f>
        <v>434.40499999999997</v>
      </c>
    </row>
    <row r="262" spans="1:45" x14ac:dyDescent="0.2">
      <c r="A262" s="18"/>
      <c r="B262" s="22"/>
      <c r="C262" s="51"/>
      <c r="D262" s="21" t="s">
        <v>57</v>
      </c>
      <c r="E262" s="21" t="s">
        <v>57</v>
      </c>
      <c r="F262" s="21" t="s">
        <v>57</v>
      </c>
      <c r="G262" s="21"/>
      <c r="H262" s="21" t="s">
        <v>57</v>
      </c>
      <c r="I262" s="21" t="s">
        <v>57</v>
      </c>
      <c r="J262" s="21" t="s">
        <v>57</v>
      </c>
      <c r="K262" s="21" t="s">
        <v>57</v>
      </c>
      <c r="L262" s="21" t="s">
        <v>57</v>
      </c>
      <c r="M262" s="21"/>
      <c r="N262" s="21" t="s">
        <v>57</v>
      </c>
      <c r="O262" s="21" t="s">
        <v>57</v>
      </c>
      <c r="P262" s="21" t="s">
        <v>57</v>
      </c>
      <c r="Q262" s="21"/>
      <c r="R262" s="21" t="s">
        <v>57</v>
      </c>
      <c r="S262" s="21" t="s">
        <v>57</v>
      </c>
      <c r="T262" s="21" t="s">
        <v>57</v>
      </c>
      <c r="U262" s="21" t="s">
        <v>57</v>
      </c>
      <c r="V262" s="21" t="s">
        <v>57</v>
      </c>
      <c r="W262" s="21"/>
      <c r="X262" s="21" t="s">
        <v>57</v>
      </c>
      <c r="Y262" s="21" t="s">
        <v>57</v>
      </c>
      <c r="Z262" s="21" t="s">
        <v>57</v>
      </c>
      <c r="AA262" s="21" t="s">
        <v>57</v>
      </c>
      <c r="AB262" s="40" t="s">
        <v>118</v>
      </c>
      <c r="AC262" s="40"/>
      <c r="AD262" s="40"/>
      <c r="AE262" s="25" t="s">
        <v>154</v>
      </c>
      <c r="AF262" s="34">
        <f>+D243</f>
        <v>434.40499999999997</v>
      </c>
      <c r="AG262" s="34">
        <f>+E243</f>
        <v>0</v>
      </c>
      <c r="AH262" s="34">
        <f>+F243</f>
        <v>0</v>
      </c>
      <c r="AI262" s="34">
        <f>+AG262+AH262</f>
        <v>0</v>
      </c>
      <c r="AJ262" s="34">
        <f>+L243</f>
        <v>0</v>
      </c>
      <c r="AK262" s="34">
        <f>+AI262+AJ262</f>
        <v>0</v>
      </c>
      <c r="AL262" s="34">
        <f>+O243</f>
        <v>0</v>
      </c>
      <c r="AM262" s="34">
        <f>+P243</f>
        <v>0</v>
      </c>
      <c r="AN262" s="34">
        <f>+AL262+AM262</f>
        <v>0</v>
      </c>
      <c r="AO262" s="34">
        <f>+V243</f>
        <v>0</v>
      </c>
      <c r="AP262" s="34">
        <f>+AN262+AO262</f>
        <v>0</v>
      </c>
      <c r="AQ262" s="34">
        <f t="shared" si="45"/>
        <v>0</v>
      </c>
      <c r="AR262" s="34">
        <f>+AF262-AQ262</f>
        <v>434.40499999999997</v>
      </c>
      <c r="AS262" s="34">
        <f>+AF263-AK263-AP263</f>
        <v>1125</v>
      </c>
    </row>
    <row r="263" spans="1:45" x14ac:dyDescent="0.2">
      <c r="A263" s="18"/>
      <c r="B263" s="22"/>
      <c r="C263" s="52"/>
      <c r="D263" s="46">
        <f>SUM(D257:D261)</f>
        <v>13629.34418</v>
      </c>
      <c r="E263" s="46">
        <f>SUM(E257:E261)</f>
        <v>733.45510000000002</v>
      </c>
      <c r="F263" s="46">
        <f>SUM(F257:F261)</f>
        <v>0</v>
      </c>
      <c r="G263" s="46"/>
      <c r="H263" s="46">
        <f>SUM(H257:H261)</f>
        <v>13628.48818</v>
      </c>
      <c r="I263" s="46">
        <f>SUM(I257:I261)</f>
        <v>0</v>
      </c>
      <c r="J263" s="46">
        <f>SUM(J257:J261)</f>
        <v>0</v>
      </c>
      <c r="K263" s="46">
        <f>SUM(K257:K261)</f>
        <v>0</v>
      </c>
      <c r="L263" s="46">
        <f>SUM(L257:L261)</f>
        <v>0</v>
      </c>
      <c r="M263" s="46"/>
      <c r="N263" s="46">
        <f>SUM(N257:N261)</f>
        <v>733.45510000000002</v>
      </c>
      <c r="O263" s="46">
        <f>SUM(O257:O261)</f>
        <v>0</v>
      </c>
      <c r="P263" s="46">
        <f>SUM(P257:P261)</f>
        <v>0</v>
      </c>
      <c r="Q263" s="46"/>
      <c r="R263" s="46">
        <f>SUM(R257:R261)</f>
        <v>0</v>
      </c>
      <c r="S263" s="46">
        <f>SUM(S257:S261)</f>
        <v>0</v>
      </c>
      <c r="T263" s="46">
        <f>SUM(T257:T261)</f>
        <v>0</v>
      </c>
      <c r="U263" s="46">
        <f>SUM(U257:U261)</f>
        <v>0</v>
      </c>
      <c r="V263" s="46">
        <f>SUM(V257:V261)</f>
        <v>0</v>
      </c>
      <c r="W263" s="46"/>
      <c r="X263" s="46">
        <f>SUM(X257:X261)</f>
        <v>0</v>
      </c>
      <c r="Y263" s="46">
        <f>SUM(Y257:Y261)</f>
        <v>13628.48818</v>
      </c>
      <c r="Z263" s="46">
        <f>SUM(Z257:Z261)</f>
        <v>0.85599999999999454</v>
      </c>
      <c r="AA263" s="46">
        <f>SUM(AA257:AA261)</f>
        <v>733.45510000000002</v>
      </c>
      <c r="AB263" s="46">
        <f>SUM(AB257:AB261)</f>
        <v>802.85645999999997</v>
      </c>
      <c r="AC263" s="46"/>
      <c r="AD263" s="46"/>
      <c r="AE263" s="25" t="s">
        <v>152</v>
      </c>
      <c r="AF263" s="34">
        <f>+D216+D199</f>
        <v>1125</v>
      </c>
      <c r="AG263" s="34">
        <f>+E216+E199</f>
        <v>0</v>
      </c>
      <c r="AH263" s="34">
        <f>+F216+F199</f>
        <v>0</v>
      </c>
      <c r="AI263" s="34">
        <f>+AG263+AH263</f>
        <v>0</v>
      </c>
      <c r="AJ263" s="34">
        <f>+L216+L199</f>
        <v>0</v>
      </c>
      <c r="AK263" s="34">
        <f>+AI263+AJ263</f>
        <v>0</v>
      </c>
      <c r="AL263" s="34">
        <f>+O216+O199</f>
        <v>0</v>
      </c>
      <c r="AM263" s="34">
        <f>+P216+P199</f>
        <v>0</v>
      </c>
      <c r="AN263" s="34">
        <f>+AL263+AM263</f>
        <v>0</v>
      </c>
      <c r="AO263" s="34">
        <f>+V216+V199</f>
        <v>0</v>
      </c>
      <c r="AP263" s="34">
        <f>+AN263+AO263</f>
        <v>0</v>
      </c>
      <c r="AQ263" s="34">
        <f t="shared" si="45"/>
        <v>0</v>
      </c>
      <c r="AR263" s="34">
        <f>+AF263-AQ263</f>
        <v>1125</v>
      </c>
      <c r="AS263" s="34" t="e">
        <f>SUM(AS249:AS262)</f>
        <v>#REF!</v>
      </c>
    </row>
    <row r="264" spans="1:45" x14ac:dyDescent="0.2">
      <c r="A264" s="18"/>
      <c r="B264" s="22"/>
      <c r="C264" s="52"/>
      <c r="D264" s="21" t="s">
        <v>57</v>
      </c>
      <c r="E264" s="21" t="s">
        <v>57</v>
      </c>
      <c r="F264" s="21" t="s">
        <v>57</v>
      </c>
      <c r="G264" s="21"/>
      <c r="H264" s="21" t="s">
        <v>57</v>
      </c>
      <c r="I264" s="21" t="s">
        <v>57</v>
      </c>
      <c r="J264" s="21" t="s">
        <v>57</v>
      </c>
      <c r="K264" s="21" t="s">
        <v>57</v>
      </c>
      <c r="L264" s="21" t="s">
        <v>57</v>
      </c>
      <c r="M264" s="21"/>
      <c r="N264" s="21" t="s">
        <v>57</v>
      </c>
      <c r="O264" s="21" t="s">
        <v>57</v>
      </c>
      <c r="P264" s="21" t="s">
        <v>57</v>
      </c>
      <c r="Q264" s="21"/>
      <c r="R264" s="21" t="s">
        <v>57</v>
      </c>
      <c r="S264" s="21" t="s">
        <v>57</v>
      </c>
      <c r="T264" s="21" t="s">
        <v>57</v>
      </c>
      <c r="U264" s="21" t="s">
        <v>57</v>
      </c>
      <c r="V264" s="21" t="s">
        <v>57</v>
      </c>
      <c r="W264" s="21"/>
      <c r="X264" s="21" t="s">
        <v>57</v>
      </c>
      <c r="Y264" s="21" t="s">
        <v>57</v>
      </c>
      <c r="Z264" s="21" t="s">
        <v>57</v>
      </c>
      <c r="AA264" s="21" t="s">
        <v>57</v>
      </c>
      <c r="AB264" s="40" t="s">
        <v>118</v>
      </c>
      <c r="AC264" s="40"/>
      <c r="AD264" s="40"/>
      <c r="AE264" s="25" t="s">
        <v>119</v>
      </c>
      <c r="AF264" s="34">
        <f t="shared" ref="AF264:AR264" si="48">SUM(AF250:AF263)</f>
        <v>341462.42653</v>
      </c>
      <c r="AG264" s="34">
        <f t="shared" si="48"/>
        <v>60811.745735999997</v>
      </c>
      <c r="AH264" s="34">
        <f t="shared" si="48"/>
        <v>0</v>
      </c>
      <c r="AI264" s="34">
        <f t="shared" si="48"/>
        <v>60811.745735999997</v>
      </c>
      <c r="AJ264" s="34">
        <f t="shared" si="48"/>
        <v>0</v>
      </c>
      <c r="AK264" s="34">
        <f t="shared" si="48"/>
        <v>60811.745735999997</v>
      </c>
      <c r="AL264" s="34">
        <f t="shared" si="48"/>
        <v>114705.74332000001</v>
      </c>
      <c r="AM264" s="34">
        <f t="shared" si="48"/>
        <v>0</v>
      </c>
      <c r="AN264" s="34">
        <f t="shared" si="48"/>
        <v>114705.74332000001</v>
      </c>
      <c r="AO264" s="34">
        <f t="shared" si="48"/>
        <v>0</v>
      </c>
      <c r="AP264" s="34">
        <f t="shared" si="48"/>
        <v>114705.74332000001</v>
      </c>
      <c r="AQ264" s="34">
        <f t="shared" si="48"/>
        <v>175517.48905599999</v>
      </c>
      <c r="AR264" s="34">
        <f t="shared" si="48"/>
        <v>165944.93747400001</v>
      </c>
    </row>
    <row r="265" spans="1:45" x14ac:dyDescent="0.2">
      <c r="A265" s="18"/>
      <c r="B265" s="41" t="s">
        <v>156</v>
      </c>
      <c r="C265" s="52" t="s">
        <v>124</v>
      </c>
      <c r="D265" s="46">
        <f>D181+D201+D218+D233+D245+D254+D263</f>
        <v>5322009.4176500011</v>
      </c>
      <c r="E265" s="46">
        <f>E181+E201+E218+E233+E245+E254+E263</f>
        <v>623521.12477600004</v>
      </c>
      <c r="F265" s="46">
        <f>F181+F201+F218+F233+F245+F254+F263</f>
        <v>82000</v>
      </c>
      <c r="G265" s="46"/>
      <c r="H265" s="46">
        <f>H181+H201+H218+H233+H245+H254+H263</f>
        <v>4963652.0648499997</v>
      </c>
      <c r="I265" s="46">
        <f>I181+I201+I218+I233+I245+I254+I263</f>
        <v>0</v>
      </c>
      <c r="J265" s="46">
        <f>J181+J201+J218+J233+J245+J254+J263</f>
        <v>0</v>
      </c>
      <c r="K265" s="46">
        <f>K181+K201+K218+K233+K245+K254+K263</f>
        <v>0</v>
      </c>
      <c r="L265" s="46">
        <f>L181+L201+L218+L233+L245+L254+L263</f>
        <v>0</v>
      </c>
      <c r="M265" s="46"/>
      <c r="N265" s="46">
        <f>N181+N201+N218+N233+N245+N254+N263</f>
        <v>705521.12477600004</v>
      </c>
      <c r="O265" s="46">
        <f>O181+O201+O218+O233+O245+O254+O263</f>
        <v>114705.74331999999</v>
      </c>
      <c r="P265" s="46">
        <f>P181+P201+P218+P233+P245+P254+P263</f>
        <v>0</v>
      </c>
      <c r="Q265" s="46"/>
      <c r="R265" s="46">
        <f>R181+R201+R218+R233+R245+R254+R263</f>
        <v>119442.46161</v>
      </c>
      <c r="S265" s="46">
        <f>S181+S201+S218+S233+S245+S254+S263</f>
        <v>0</v>
      </c>
      <c r="T265" s="46">
        <f>T181+T201+T218+T233+T245+T254+T263</f>
        <v>0</v>
      </c>
      <c r="U265" s="46">
        <f>U181+U201+U218+U233+U245+U254+U263</f>
        <v>0</v>
      </c>
      <c r="V265" s="46">
        <f>V181+V201+V218+V233+V245+V254+V263</f>
        <v>0</v>
      </c>
      <c r="W265" s="46"/>
      <c r="X265" s="46">
        <f>X181+X201+X218+X233+X245+X254+X263</f>
        <v>114705.74331999999</v>
      </c>
      <c r="Y265" s="46">
        <f>Y181+Y201+Y218+Y233+Y245+Y254+Y263</f>
        <v>5083094.5264600003</v>
      </c>
      <c r="Z265" s="46">
        <f>Z181+Z201+Z218+Z233+Z245+Z254+Z263</f>
        <v>238915.29124999998</v>
      </c>
      <c r="AA265" s="46" t="e">
        <f>AA181+AA201+AA218+AA233+AA245+AA254+AA263</f>
        <v>#VALUE!</v>
      </c>
      <c r="AB265" s="46" t="e">
        <f>AB181+AB201+AB218+AB233+AB245+AB254+AB263</f>
        <v>#VALUE!</v>
      </c>
      <c r="AC265" s="46"/>
      <c r="AD265" s="46"/>
      <c r="AQ265" s="34"/>
    </row>
    <row r="266" spans="1:45" x14ac:dyDescent="0.2">
      <c r="A266" s="18"/>
      <c r="D266" s="53" t="s">
        <v>157</v>
      </c>
      <c r="E266" s="53" t="s">
        <v>157</v>
      </c>
      <c r="F266" s="53" t="s">
        <v>157</v>
      </c>
      <c r="G266" s="53"/>
      <c r="H266" s="53" t="s">
        <v>157</v>
      </c>
      <c r="I266" s="30"/>
      <c r="J266" s="30"/>
      <c r="K266" s="30"/>
      <c r="L266" s="53" t="s">
        <v>157</v>
      </c>
      <c r="M266" s="53"/>
      <c r="N266" s="53" t="s">
        <v>157</v>
      </c>
      <c r="O266" s="53" t="s">
        <v>157</v>
      </c>
      <c r="P266" s="53" t="s">
        <v>157</v>
      </c>
      <c r="Q266" s="53"/>
      <c r="R266" s="53" t="s">
        <v>157</v>
      </c>
      <c r="S266" s="30"/>
      <c r="T266" s="30"/>
      <c r="U266" s="30"/>
      <c r="V266" s="53" t="s">
        <v>157</v>
      </c>
      <c r="W266" s="53"/>
      <c r="X266" s="53" t="s">
        <v>157</v>
      </c>
      <c r="Y266" s="53" t="s">
        <v>157</v>
      </c>
      <c r="Z266" s="53" t="s">
        <v>157</v>
      </c>
      <c r="AA266" s="30"/>
      <c r="AB266" s="53" t="s">
        <v>157</v>
      </c>
      <c r="AC266" s="53"/>
      <c r="AD266" s="53"/>
      <c r="AS266" s="3" t="e">
        <f>+AS263-AB265</f>
        <v>#REF!</v>
      </c>
    </row>
    <row r="267" spans="1:45" x14ac:dyDescent="0.2">
      <c r="A267" s="18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46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</row>
    <row r="268" spans="1:45" x14ac:dyDescent="0.2">
      <c r="A268" s="18"/>
      <c r="B268" s="17" t="s">
        <v>158</v>
      </c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46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</row>
    <row r="269" spans="1:45" x14ac:dyDescent="0.2">
      <c r="A269" s="18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46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</row>
    <row r="270" spans="1:45" x14ac:dyDescent="0.2">
      <c r="A270" s="18">
        <v>19</v>
      </c>
      <c r="B270" s="20" t="s">
        <v>159</v>
      </c>
      <c r="C270" s="20" t="s">
        <v>51</v>
      </c>
      <c r="D270" s="19">
        <f>27107455/1000</f>
        <v>27107.455000000002</v>
      </c>
      <c r="E270" s="19">
        <f>[1]TOBEPAID!E208/1000</f>
        <v>1500</v>
      </c>
      <c r="F270" s="19">
        <f>[1]TOBEPAID!F208/1000</f>
        <v>0</v>
      </c>
      <c r="G270" s="19">
        <f>[1]TOBEPAID!G208/1000</f>
        <v>0</v>
      </c>
      <c r="H270" s="19">
        <f>20278431.73/1000</f>
        <v>20278.43173</v>
      </c>
      <c r="I270" s="19">
        <f>[1]TOBEPAID!I208/1000</f>
        <v>0</v>
      </c>
      <c r="J270" s="19">
        <f>[1]TOBEPAID!J208/1000</f>
        <v>0</v>
      </c>
      <c r="K270" s="19">
        <f>[1]TOBEPAID!K208/1000</f>
        <v>0</v>
      </c>
      <c r="L270" s="19">
        <f>[1]TOBEPAID!L208/1000</f>
        <v>0</v>
      </c>
      <c r="M270" s="19">
        <f>[1]TOBEPAID!M208/1000</f>
        <v>0</v>
      </c>
      <c r="N270" s="19">
        <f>[1]TOBEPAID!N208/1000</f>
        <v>1500</v>
      </c>
      <c r="O270" s="19">
        <f>[1]TOBEPAID!O208/1000</f>
        <v>1250.3587399999999</v>
      </c>
      <c r="P270" s="19">
        <f>[1]TOBEPAID!P208/1000</f>
        <v>0</v>
      </c>
      <c r="Q270" s="19">
        <f>[1]TOBEPAID!Q208/1000</f>
        <v>0</v>
      </c>
      <c r="R270" s="19">
        <f>5453403/1000</f>
        <v>5453.4030000000002</v>
      </c>
      <c r="S270" s="19">
        <f>[1]TOBEPAID!S208/1000</f>
        <v>0</v>
      </c>
      <c r="T270" s="19">
        <f>[1]TOBEPAID!T208/1000</f>
        <v>0</v>
      </c>
      <c r="U270" s="19">
        <f>[1]TOBEPAID!U208/1000</f>
        <v>0</v>
      </c>
      <c r="V270" s="19">
        <f>[1]TOBEPAID!V208/1000</f>
        <v>0</v>
      </c>
      <c r="W270" s="19">
        <f>[1]TOBEPAID!W208/1000</f>
        <v>0</v>
      </c>
      <c r="X270" s="19">
        <f>[1]TOBEPAID!X208/1000</f>
        <v>1250.3587399999999</v>
      </c>
      <c r="Y270" s="19">
        <f>+H270+R270</f>
        <v>25731.834730000002</v>
      </c>
      <c r="Z270" s="19">
        <f>+D270-Y270</f>
        <v>1375.6202699999994</v>
      </c>
      <c r="AA270" s="19">
        <f>[1]TOBEPAID!AA208/1000</f>
        <v>2750.3587400000001</v>
      </c>
      <c r="AB270" s="19">
        <f>[1]TOBEPAID!AB208/1000</f>
        <v>13023.518029999999</v>
      </c>
      <c r="AC270" s="19"/>
      <c r="AD270" s="19"/>
    </row>
    <row r="271" spans="1:45" x14ac:dyDescent="0.2">
      <c r="A271" s="18"/>
      <c r="C271" s="20" t="s">
        <v>52</v>
      </c>
      <c r="D271" s="19">
        <f>6001800/1000</f>
        <v>6001.8</v>
      </c>
      <c r="E271" s="19">
        <f>[1]TOBEPAID!E209/1000</f>
        <v>6001.8</v>
      </c>
      <c r="F271" s="19">
        <f>[1]TOBEPAID!F209/1000</f>
        <v>0</v>
      </c>
      <c r="G271" s="19">
        <f>[1]TOBEPAID!G209/1000</f>
        <v>0</v>
      </c>
      <c r="H271" s="19">
        <f>6001800/1000</f>
        <v>6001.8</v>
      </c>
      <c r="I271" s="19">
        <f>[1]TOBEPAID!I209/1000</f>
        <v>0</v>
      </c>
      <c r="J271" s="19">
        <f>[1]TOBEPAID!J209/1000</f>
        <v>0</v>
      </c>
      <c r="K271" s="19">
        <f>[1]TOBEPAID!K209/1000</f>
        <v>0</v>
      </c>
      <c r="L271" s="19">
        <f>[1]TOBEPAID!L209/1000</f>
        <v>0</v>
      </c>
      <c r="M271" s="19">
        <f>[1]TOBEPAID!M209/1000</f>
        <v>0</v>
      </c>
      <c r="N271" s="19">
        <f>[1]TOBEPAID!N209/1000</f>
        <v>6001.8</v>
      </c>
      <c r="O271" s="19">
        <f>[1]TOBEPAID!O209/1000</f>
        <v>0</v>
      </c>
      <c r="P271" s="19">
        <f>[1]TOBEPAID!P209/1000</f>
        <v>0</v>
      </c>
      <c r="Q271" s="19">
        <f>[1]TOBEPAID!Q209/1000</f>
        <v>0</v>
      </c>
      <c r="R271" s="19">
        <f>[1]TOBEPAID!R209/1000</f>
        <v>0</v>
      </c>
      <c r="S271" s="19">
        <f>[1]TOBEPAID!S209/1000</f>
        <v>0</v>
      </c>
      <c r="T271" s="19">
        <f>[1]TOBEPAID!T209/1000</f>
        <v>0</v>
      </c>
      <c r="U271" s="19">
        <f>[1]TOBEPAID!U209/1000</f>
        <v>0</v>
      </c>
      <c r="V271" s="19">
        <f>[1]TOBEPAID!V209/1000</f>
        <v>0</v>
      </c>
      <c r="W271" s="19">
        <f>[1]TOBEPAID!W209/1000</f>
        <v>0</v>
      </c>
      <c r="X271" s="19">
        <f>[1]TOBEPAID!X209/1000</f>
        <v>0</v>
      </c>
      <c r="Y271" s="19">
        <f>[1]TOBEPAID!Y209/1000</f>
        <v>6001.8</v>
      </c>
      <c r="Z271" s="19">
        <f>[1]TOBEPAID!Z209/1000</f>
        <v>0</v>
      </c>
      <c r="AA271" s="19">
        <f>[1]TOBEPAID!AA209/1000</f>
        <v>6001.8</v>
      </c>
      <c r="AB271" s="19">
        <f>[1]TOBEPAID!AB209/1000</f>
        <v>0</v>
      </c>
      <c r="AC271" s="19"/>
      <c r="AD271" s="19"/>
    </row>
    <row r="272" spans="1:45" x14ac:dyDescent="0.2">
      <c r="A272" s="18"/>
      <c r="C272" s="20" t="s">
        <v>160</v>
      </c>
      <c r="D272" s="19">
        <f>10000000/1000</f>
        <v>10000</v>
      </c>
      <c r="E272" s="19"/>
      <c r="F272" s="19"/>
      <c r="G272" s="19"/>
      <c r="H272" s="19">
        <f>10000000/1000</f>
        <v>10000</v>
      </c>
      <c r="I272" s="19"/>
      <c r="J272" s="19"/>
      <c r="K272" s="19"/>
      <c r="L272" s="19"/>
      <c r="M272" s="19"/>
      <c r="N272" s="19"/>
      <c r="O272" s="19"/>
      <c r="P272" s="19"/>
      <c r="Q272" s="19"/>
      <c r="R272" s="19">
        <v>0</v>
      </c>
      <c r="S272" s="19"/>
      <c r="T272" s="19"/>
      <c r="U272" s="19"/>
      <c r="V272" s="19"/>
      <c r="W272" s="19"/>
      <c r="X272" s="19"/>
      <c r="Y272" s="19">
        <f>+H272+R272</f>
        <v>10000</v>
      </c>
      <c r="Z272" s="19">
        <f t="shared" ref="Z272:Z279" si="49">+D272-Y272</f>
        <v>0</v>
      </c>
      <c r="AA272" s="19"/>
      <c r="AB272" s="19"/>
      <c r="AC272" s="19"/>
      <c r="AD272" s="19"/>
    </row>
    <row r="273" spans="1:30" x14ac:dyDescent="0.2">
      <c r="A273" s="18"/>
      <c r="C273" s="20" t="s">
        <v>126</v>
      </c>
      <c r="D273" s="19">
        <f>143000000/1000</f>
        <v>143000</v>
      </c>
      <c r="E273" s="19"/>
      <c r="F273" s="19"/>
      <c r="G273" s="19"/>
      <c r="H273" s="19">
        <v>0</v>
      </c>
      <c r="I273" s="19"/>
      <c r="J273" s="19"/>
      <c r="K273" s="19"/>
      <c r="L273" s="19"/>
      <c r="M273" s="19"/>
      <c r="N273" s="19"/>
      <c r="O273" s="19"/>
      <c r="P273" s="19"/>
      <c r="Q273" s="19"/>
      <c r="R273" s="19">
        <v>0</v>
      </c>
      <c r="S273" s="19"/>
      <c r="T273" s="19"/>
      <c r="U273" s="19"/>
      <c r="V273" s="19"/>
      <c r="W273" s="19"/>
      <c r="X273" s="19"/>
      <c r="Y273" s="19">
        <f>+H273+R273</f>
        <v>0</v>
      </c>
      <c r="Z273" s="19">
        <f>+D273-Y273</f>
        <v>143000</v>
      </c>
      <c r="AA273" s="19"/>
      <c r="AB273" s="19"/>
      <c r="AC273" s="19"/>
      <c r="AD273" s="19"/>
    </row>
    <row r="274" spans="1:30" x14ac:dyDescent="0.2">
      <c r="C274" s="3" t="s">
        <v>53</v>
      </c>
      <c r="D274" s="19">
        <f>8000000/1000</f>
        <v>8000</v>
      </c>
      <c r="E274" s="19">
        <f>[1]TOBEPAID!E210/1000</f>
        <v>7986.1920499999997</v>
      </c>
      <c r="F274" s="19">
        <f>[1]TOBEPAID!F210/1000</f>
        <v>0</v>
      </c>
      <c r="G274" s="19">
        <f>[1]TOBEPAID!G210/1000</f>
        <v>0</v>
      </c>
      <c r="H274" s="19">
        <f>7986192/1000</f>
        <v>7986.192</v>
      </c>
      <c r="I274" s="19">
        <f>[1]TOBEPAID!I210/1000</f>
        <v>0</v>
      </c>
      <c r="J274" s="19">
        <f>[1]TOBEPAID!J210/1000</f>
        <v>0</v>
      </c>
      <c r="K274" s="19">
        <f>[1]TOBEPAID!K210/1000</f>
        <v>0</v>
      </c>
      <c r="L274" s="19">
        <f>[1]TOBEPAID!L210/1000</f>
        <v>0</v>
      </c>
      <c r="M274" s="19">
        <f>[1]TOBEPAID!M210/1000</f>
        <v>0</v>
      </c>
      <c r="N274" s="19">
        <f>[1]TOBEPAID!N210/1000</f>
        <v>7986.1920499999997</v>
      </c>
      <c r="O274" s="19">
        <f>[1]TOBEPAID!O210/1000</f>
        <v>0</v>
      </c>
      <c r="P274" s="19">
        <f>[1]TOBEPAID!P210/1000</f>
        <v>0</v>
      </c>
      <c r="Q274" s="19">
        <f>[1]TOBEPAID!Q210/1000</f>
        <v>0</v>
      </c>
      <c r="R274" s="19">
        <f>[1]TOBEPAID!R210/1000</f>
        <v>0</v>
      </c>
      <c r="S274" s="19">
        <f>[1]TOBEPAID!S210/1000</f>
        <v>0</v>
      </c>
      <c r="T274" s="19">
        <f>[1]TOBEPAID!T210/1000</f>
        <v>0</v>
      </c>
      <c r="U274" s="19">
        <f>[1]TOBEPAID!U210/1000</f>
        <v>0</v>
      </c>
      <c r="V274" s="19">
        <f>[1]TOBEPAID!V210/1000</f>
        <v>0</v>
      </c>
      <c r="W274" s="19">
        <f>[1]TOBEPAID!W210/1000</f>
        <v>0</v>
      </c>
      <c r="X274" s="19">
        <f>[1]TOBEPAID!X210/1000</f>
        <v>0</v>
      </c>
      <c r="Y274" s="19">
        <f>+H274+R274</f>
        <v>7986.192</v>
      </c>
      <c r="Z274" s="19">
        <f t="shared" si="49"/>
        <v>13.807999999999993</v>
      </c>
      <c r="AA274" s="19">
        <f>[1]TOBEPAID!AA210/1000</f>
        <v>7986.1920499999997</v>
      </c>
      <c r="AB274" s="19">
        <f>[1]TOBEPAID!AB210/1000</f>
        <v>13.807950000000186</v>
      </c>
      <c r="AC274" s="19"/>
      <c r="AD274" s="19"/>
    </row>
    <row r="275" spans="1:30" x14ac:dyDescent="0.2">
      <c r="C275" s="3" t="s">
        <v>161</v>
      </c>
      <c r="D275" s="19">
        <f>8000000/1000</f>
        <v>8000</v>
      </c>
      <c r="E275" s="19"/>
      <c r="F275" s="19"/>
      <c r="G275" s="19"/>
      <c r="H275" s="19">
        <f>8000000/1000</f>
        <v>8000</v>
      </c>
      <c r="I275" s="19"/>
      <c r="J275" s="19"/>
      <c r="K275" s="19"/>
      <c r="L275" s="19"/>
      <c r="M275" s="19"/>
      <c r="N275" s="19"/>
      <c r="O275" s="19"/>
      <c r="P275" s="19"/>
      <c r="Q275" s="19"/>
      <c r="R275" s="19">
        <v>0</v>
      </c>
      <c r="S275" s="19"/>
      <c r="T275" s="19"/>
      <c r="U275" s="19"/>
      <c r="V275" s="19"/>
      <c r="W275" s="19"/>
      <c r="X275" s="19"/>
      <c r="Y275" s="19">
        <f>+H275-R275</f>
        <v>8000</v>
      </c>
      <c r="Z275" s="19">
        <f t="shared" si="49"/>
        <v>0</v>
      </c>
      <c r="AA275" s="19"/>
      <c r="AB275" s="19"/>
      <c r="AC275" s="19"/>
      <c r="AD275" s="19"/>
    </row>
    <row r="276" spans="1:30" x14ac:dyDescent="0.2">
      <c r="C276" s="3" t="s">
        <v>76</v>
      </c>
      <c r="D276" s="19">
        <f>9999965/1000</f>
        <v>9999.9650000000001</v>
      </c>
      <c r="E276" s="19"/>
      <c r="F276" s="19"/>
      <c r="G276" s="19"/>
      <c r="H276" s="19">
        <f>9999965/1000</f>
        <v>9999.9650000000001</v>
      </c>
      <c r="I276" s="19"/>
      <c r="J276" s="19"/>
      <c r="K276" s="19"/>
      <c r="L276" s="19"/>
      <c r="M276" s="19"/>
      <c r="N276" s="19"/>
      <c r="O276" s="19"/>
      <c r="P276" s="19"/>
      <c r="Q276" s="19"/>
      <c r="R276" s="19">
        <v>0</v>
      </c>
      <c r="S276" s="19"/>
      <c r="T276" s="19"/>
      <c r="U276" s="19"/>
      <c r="V276" s="19"/>
      <c r="W276" s="19"/>
      <c r="X276" s="19"/>
      <c r="Y276" s="19">
        <f>+H276+R276</f>
        <v>9999.9650000000001</v>
      </c>
      <c r="Z276" s="19">
        <f t="shared" si="49"/>
        <v>0</v>
      </c>
      <c r="AA276" s="19"/>
      <c r="AB276" s="19"/>
      <c r="AC276" s="19"/>
      <c r="AD276" s="19"/>
    </row>
    <row r="277" spans="1:30" x14ac:dyDescent="0.2">
      <c r="C277" s="3" t="s">
        <v>77</v>
      </c>
      <c r="D277" s="19">
        <f>5522166/1000</f>
        <v>5522.1660000000002</v>
      </c>
      <c r="E277" s="19"/>
      <c r="F277" s="19"/>
      <c r="G277" s="19"/>
      <c r="H277" s="19">
        <f>5522166/1000</f>
        <v>5522.1660000000002</v>
      </c>
      <c r="I277" s="19"/>
      <c r="J277" s="19"/>
      <c r="K277" s="19"/>
      <c r="L277" s="19"/>
      <c r="M277" s="19"/>
      <c r="N277" s="19"/>
      <c r="O277" s="19"/>
      <c r="P277" s="19"/>
      <c r="Q277" s="19"/>
      <c r="R277" s="19">
        <v>0</v>
      </c>
      <c r="S277" s="19"/>
      <c r="T277" s="19"/>
      <c r="U277" s="19"/>
      <c r="V277" s="19"/>
      <c r="W277" s="19"/>
      <c r="X277" s="19"/>
      <c r="Y277" s="19">
        <f>+H277+R277</f>
        <v>5522.1660000000002</v>
      </c>
      <c r="Z277" s="19">
        <f t="shared" si="49"/>
        <v>0</v>
      </c>
      <c r="AA277" s="19"/>
      <c r="AB277" s="19"/>
      <c r="AC277" s="19"/>
      <c r="AD277" s="19"/>
    </row>
    <row r="278" spans="1:30" x14ac:dyDescent="0.2">
      <c r="C278" s="3" t="s">
        <v>64</v>
      </c>
      <c r="D278" s="19">
        <f>10525000/1000</f>
        <v>10525</v>
      </c>
      <c r="E278" s="19"/>
      <c r="F278" s="19"/>
      <c r="G278" s="19"/>
      <c r="H278" s="19">
        <f>10525000/1000</f>
        <v>10525</v>
      </c>
      <c r="I278" s="19"/>
      <c r="J278" s="19"/>
      <c r="K278" s="19"/>
      <c r="L278" s="19"/>
      <c r="M278" s="19"/>
      <c r="N278" s="19"/>
      <c r="O278" s="19"/>
      <c r="P278" s="19"/>
      <c r="Q278" s="19"/>
      <c r="R278" s="19">
        <v>0</v>
      </c>
      <c r="S278" s="19"/>
      <c r="T278" s="19"/>
      <c r="U278" s="19"/>
      <c r="V278" s="19"/>
      <c r="W278" s="19"/>
      <c r="X278" s="19"/>
      <c r="Y278" s="19">
        <f>+H278+R278</f>
        <v>10525</v>
      </c>
      <c r="Z278" s="19">
        <f t="shared" si="49"/>
        <v>0</v>
      </c>
      <c r="AA278" s="19"/>
      <c r="AB278" s="19"/>
      <c r="AC278" s="19"/>
      <c r="AD278" s="19"/>
    </row>
    <row r="279" spans="1:30" x14ac:dyDescent="0.2">
      <c r="C279" s="3" t="s">
        <v>67</v>
      </c>
      <c r="D279" s="3">
        <f>456657616.38/1000</f>
        <v>456657.61638000002</v>
      </c>
      <c r="H279" s="3">
        <f>456657616.38/1000</f>
        <v>456657.61638000002</v>
      </c>
      <c r="R279" s="3">
        <v>0</v>
      </c>
      <c r="Y279" s="3">
        <f>+H279+R279</f>
        <v>456657.61638000002</v>
      </c>
      <c r="Z279" s="3">
        <f t="shared" si="49"/>
        <v>0</v>
      </c>
    </row>
    <row r="280" spans="1:30" x14ac:dyDescent="0.2">
      <c r="C280" s="3" t="s">
        <v>162</v>
      </c>
      <c r="D280" s="19">
        <f>1511746/1000</f>
        <v>1511.7460000000001</v>
      </c>
      <c r="E280" s="19">
        <f>[1]TOBEPAID!E211/1000</f>
        <v>1511.7462499999999</v>
      </c>
      <c r="F280" s="19">
        <f>[1]TOBEPAID!F211/1000</f>
        <v>0</v>
      </c>
      <c r="G280" s="19">
        <f>[1]TOBEPAID!G211/1000</f>
        <v>0</v>
      </c>
      <c r="H280" s="19">
        <f>1511743/1000</f>
        <v>1511.7429999999999</v>
      </c>
      <c r="I280" s="19">
        <f>[1]TOBEPAID!I211/1000</f>
        <v>0</v>
      </c>
      <c r="J280" s="19">
        <f>[1]TOBEPAID!J211/1000</f>
        <v>0</v>
      </c>
      <c r="K280" s="19">
        <f>[1]TOBEPAID!K211/1000</f>
        <v>0</v>
      </c>
      <c r="L280" s="19">
        <f>[1]TOBEPAID!L211/1000</f>
        <v>0</v>
      </c>
      <c r="M280" s="19">
        <f>[1]TOBEPAID!M211/1000</f>
        <v>0</v>
      </c>
      <c r="N280" s="19">
        <f>[1]TOBEPAID!N211/1000</f>
        <v>1511.7462499999999</v>
      </c>
      <c r="O280" s="19">
        <f>[1]TOBEPAID!O211/1000</f>
        <v>0</v>
      </c>
      <c r="P280" s="19">
        <f>[1]TOBEPAID!P211/1000</f>
        <v>0</v>
      </c>
      <c r="Q280" s="19">
        <f>[1]TOBEPAID!Q211/1000</f>
        <v>0</v>
      </c>
      <c r="R280" s="19">
        <f>[1]TOBEPAID!R211/1000</f>
        <v>0</v>
      </c>
      <c r="S280" s="19">
        <f>[1]TOBEPAID!S211/1000</f>
        <v>0</v>
      </c>
      <c r="T280" s="19">
        <f>[1]TOBEPAID!T211/1000</f>
        <v>0</v>
      </c>
      <c r="U280" s="19">
        <f>[1]TOBEPAID!U211/1000</f>
        <v>0</v>
      </c>
      <c r="V280" s="19">
        <f>[1]TOBEPAID!V211/1000</f>
        <v>0</v>
      </c>
      <c r="W280" s="19">
        <f>[1]TOBEPAID!W211/1000</f>
        <v>0</v>
      </c>
      <c r="X280" s="19">
        <f>[1]TOBEPAID!X211/1000</f>
        <v>0</v>
      </c>
      <c r="Y280" s="19">
        <f>[1]TOBEPAID!Y211/1000</f>
        <v>1511.7462499999999</v>
      </c>
      <c r="Z280" s="19">
        <f>[1]TOBEPAID!Z211/1000</f>
        <v>0</v>
      </c>
      <c r="AA280" s="19">
        <f>[1]TOBEPAID!AA211/1000</f>
        <v>1511.7462499999999</v>
      </c>
      <c r="AB280" s="19">
        <f>[1]TOBEPAID!AB211/1000</f>
        <v>0</v>
      </c>
      <c r="AC280" s="19"/>
      <c r="AD280" s="19"/>
    </row>
    <row r="281" spans="1:30" x14ac:dyDescent="0.2">
      <c r="C281" s="3" t="s">
        <v>163</v>
      </c>
      <c r="D281" s="19">
        <v>0</v>
      </c>
      <c r="E281" s="19"/>
      <c r="F281" s="19"/>
      <c r="G281" s="19"/>
      <c r="H281" s="19">
        <v>0</v>
      </c>
      <c r="I281" s="19"/>
      <c r="J281" s="19"/>
      <c r="K281" s="19"/>
      <c r="L281" s="19"/>
      <c r="M281" s="19"/>
      <c r="N281" s="19"/>
      <c r="O281" s="19"/>
      <c r="P281" s="19"/>
      <c r="Q281" s="19"/>
      <c r="R281" s="19">
        <v>0</v>
      </c>
      <c r="S281" s="19"/>
      <c r="T281" s="19"/>
      <c r="U281" s="19"/>
      <c r="V281" s="19"/>
      <c r="W281" s="19"/>
      <c r="X281" s="19"/>
      <c r="Y281" s="19">
        <f>+H281+R281</f>
        <v>0</v>
      </c>
      <c r="Z281" s="19">
        <f>+D281-Y281</f>
        <v>0</v>
      </c>
      <c r="AA281" s="19"/>
      <c r="AB281" s="19"/>
      <c r="AC281" s="19"/>
      <c r="AD281" s="19"/>
    </row>
    <row r="282" spans="1:30" x14ac:dyDescent="0.2">
      <c r="C282" s="39" t="s">
        <v>164</v>
      </c>
      <c r="D282" s="19">
        <f>5000000/1000</f>
        <v>5000</v>
      </c>
      <c r="E282" s="19"/>
      <c r="F282" s="19"/>
      <c r="G282" s="19"/>
      <c r="H282" s="19">
        <f>5000000/1000</f>
        <v>5000</v>
      </c>
      <c r="I282" s="19"/>
      <c r="J282" s="19"/>
      <c r="K282" s="19"/>
      <c r="L282" s="19"/>
      <c r="M282" s="19"/>
      <c r="N282" s="19"/>
      <c r="O282" s="19"/>
      <c r="P282" s="19"/>
      <c r="Q282" s="19"/>
      <c r="R282" s="19">
        <v>0</v>
      </c>
      <c r="S282" s="19"/>
      <c r="T282" s="19"/>
      <c r="U282" s="19"/>
      <c r="V282" s="19"/>
      <c r="W282" s="19"/>
      <c r="X282" s="19"/>
      <c r="Y282" s="19">
        <f>+H282+R282</f>
        <v>5000</v>
      </c>
      <c r="Z282" s="19">
        <f>+D282-Y282</f>
        <v>0</v>
      </c>
      <c r="AA282" s="19"/>
      <c r="AB282" s="19"/>
      <c r="AC282" s="19"/>
      <c r="AD282" s="19"/>
    </row>
    <row r="283" spans="1:30" x14ac:dyDescent="0.2">
      <c r="A283" s="18"/>
      <c r="C283" s="20" t="s">
        <v>54</v>
      </c>
      <c r="D283" s="19">
        <v>0</v>
      </c>
      <c r="E283" s="19">
        <f>[1]TOBEPAID!E212/1000</f>
        <v>0</v>
      </c>
      <c r="F283" s="19">
        <f>[1]TOBEPAID!F212/1000</f>
        <v>0</v>
      </c>
      <c r="G283" s="19">
        <f>[1]TOBEPAID!G212/1000</f>
        <v>0</v>
      </c>
      <c r="H283" s="19">
        <v>0</v>
      </c>
      <c r="I283" s="19">
        <f>[1]TOBEPAID!I212/1000</f>
        <v>0</v>
      </c>
      <c r="J283" s="19">
        <f>[1]TOBEPAID!J212/1000</f>
        <v>0</v>
      </c>
      <c r="K283" s="19">
        <f>[1]TOBEPAID!K212/1000</f>
        <v>0</v>
      </c>
      <c r="L283" s="19">
        <f>[1]TOBEPAID!L212/1000</f>
        <v>0</v>
      </c>
      <c r="M283" s="19">
        <f>[1]TOBEPAID!M212/1000</f>
        <v>0</v>
      </c>
      <c r="N283" s="19">
        <f>[1]TOBEPAID!N212/1000</f>
        <v>0</v>
      </c>
      <c r="O283" s="19">
        <f>[1]TOBEPAID!O212/1000</f>
        <v>0</v>
      </c>
      <c r="P283" s="19">
        <f>[1]TOBEPAID!P212/1000</f>
        <v>0</v>
      </c>
      <c r="Q283" s="19">
        <f>[1]TOBEPAID!Q212/1000</f>
        <v>0</v>
      </c>
      <c r="R283" s="19">
        <f>[1]TOBEPAID!R212/1000</f>
        <v>0</v>
      </c>
      <c r="S283" s="19">
        <f>[1]TOBEPAID!S212/1000</f>
        <v>0</v>
      </c>
      <c r="T283" s="19">
        <f>[1]TOBEPAID!T212/1000</f>
        <v>0</v>
      </c>
      <c r="U283" s="19">
        <f>[1]TOBEPAID!U212/1000</f>
        <v>0</v>
      </c>
      <c r="V283" s="19">
        <f>[1]TOBEPAID!V212/1000</f>
        <v>0</v>
      </c>
      <c r="W283" s="19">
        <f>[1]TOBEPAID!W212/1000</f>
        <v>0</v>
      </c>
      <c r="X283" s="19">
        <f>[1]TOBEPAID!X212/1000</f>
        <v>0</v>
      </c>
      <c r="Y283" s="19">
        <f>[1]TOBEPAID!Y212/1000</f>
        <v>0</v>
      </c>
      <c r="Z283" s="19">
        <f>[1]TOBEPAID!Z212/1000</f>
        <v>0</v>
      </c>
      <c r="AA283" s="19">
        <f>[1]TOBEPAID!AA212/1000</f>
        <v>0</v>
      </c>
      <c r="AB283" s="19">
        <f>[1]TOBEPAID!AB212/1000</f>
        <v>0</v>
      </c>
      <c r="AC283" s="19"/>
      <c r="AD283" s="19"/>
    </row>
    <row r="284" spans="1:30" x14ac:dyDescent="0.2">
      <c r="A284" s="18"/>
      <c r="C284" s="20" t="s">
        <v>55</v>
      </c>
      <c r="D284" s="19">
        <f>1401345/1000</f>
        <v>1401.345</v>
      </c>
      <c r="E284" s="19">
        <f>[1]TOBEPAID!E213/1000</f>
        <v>0</v>
      </c>
      <c r="F284" s="19">
        <f>[1]TOBEPAID!F213/1000</f>
        <v>0</v>
      </c>
      <c r="G284" s="19">
        <f>[1]TOBEPAID!G213/1000</f>
        <v>0</v>
      </c>
      <c r="H284" s="19">
        <f>1260000/1000</f>
        <v>1260</v>
      </c>
      <c r="I284" s="19">
        <f>[1]TOBEPAID!I213/1000</f>
        <v>0</v>
      </c>
      <c r="J284" s="19">
        <f>[1]TOBEPAID!J213/1000</f>
        <v>0</v>
      </c>
      <c r="K284" s="19">
        <f>[1]TOBEPAID!K213/1000</f>
        <v>0</v>
      </c>
      <c r="L284" s="19">
        <f>[1]TOBEPAID!L213/1000</f>
        <v>0</v>
      </c>
      <c r="M284" s="19">
        <f>[1]TOBEPAID!M213/1000</f>
        <v>0</v>
      </c>
      <c r="N284" s="19">
        <f>[1]TOBEPAID!N213/1000</f>
        <v>0</v>
      </c>
      <c r="O284" s="19">
        <f>[1]TOBEPAID!O213/1000</f>
        <v>141.34520000000001</v>
      </c>
      <c r="P284" s="19">
        <f>[1]TOBEPAID!P213/1000</f>
        <v>0</v>
      </c>
      <c r="Q284" s="19">
        <f>[1]TOBEPAID!Q213/1000</f>
        <v>0</v>
      </c>
      <c r="R284" s="19">
        <f>[1]TOBEPAID!R213/1000</f>
        <v>141.34520000000001</v>
      </c>
      <c r="S284" s="19">
        <f>[1]TOBEPAID!S213/1000</f>
        <v>0</v>
      </c>
      <c r="T284" s="19">
        <f>[1]TOBEPAID!T213/1000</f>
        <v>0</v>
      </c>
      <c r="U284" s="19">
        <f>[1]TOBEPAID!U213/1000</f>
        <v>0</v>
      </c>
      <c r="V284" s="19">
        <f>[1]TOBEPAID!V213/1000</f>
        <v>0</v>
      </c>
      <c r="W284" s="19">
        <f>[1]TOBEPAID!W213/1000</f>
        <v>0</v>
      </c>
      <c r="X284" s="19">
        <f>[1]TOBEPAID!X213/1000</f>
        <v>141.34520000000001</v>
      </c>
      <c r="Y284" s="19">
        <f>+H284+R284</f>
        <v>1401.3452</v>
      </c>
      <c r="Z284" s="19">
        <f>+Y284-D284</f>
        <v>1.9999999994979589E-4</v>
      </c>
      <c r="AA284" s="19">
        <f>[1]TOBEPAID!AA213/1000</f>
        <v>141.34520000000001</v>
      </c>
      <c r="AB284" s="19">
        <f>[1]TOBEPAID!AB213/1000</f>
        <v>12044.344800000001</v>
      </c>
      <c r="AC284" s="19"/>
      <c r="AD284" s="19"/>
    </row>
    <row r="285" spans="1:30" x14ac:dyDescent="0.2">
      <c r="A285" s="18"/>
      <c r="C285" s="54" t="s">
        <v>56</v>
      </c>
      <c r="D285" s="19">
        <v>0</v>
      </c>
      <c r="E285" s="19">
        <f>[1]TOBEPAID!E214/1000</f>
        <v>0</v>
      </c>
      <c r="F285" s="19">
        <f>[1]TOBEPAID!F214/1000</f>
        <v>0</v>
      </c>
      <c r="G285" s="19">
        <f>[1]TOBEPAID!G214/1000</f>
        <v>0</v>
      </c>
      <c r="H285" s="19">
        <v>0</v>
      </c>
      <c r="I285" s="19">
        <f>[1]TOBEPAID!I214/1000</f>
        <v>0</v>
      </c>
      <c r="J285" s="19">
        <f>[1]TOBEPAID!J214/1000</f>
        <v>0</v>
      </c>
      <c r="K285" s="19">
        <f>[1]TOBEPAID!K214/1000</f>
        <v>0</v>
      </c>
      <c r="L285" s="19">
        <f>[1]TOBEPAID!L214/1000</f>
        <v>0</v>
      </c>
      <c r="M285" s="19">
        <f>[1]TOBEPAID!M214/1000</f>
        <v>0</v>
      </c>
      <c r="N285" s="19">
        <f>[1]TOBEPAID!N214/1000</f>
        <v>0</v>
      </c>
      <c r="O285" s="19">
        <f>[1]TOBEPAID!O214/1000</f>
        <v>0</v>
      </c>
      <c r="P285" s="19">
        <f>[1]TOBEPAID!P214/1000</f>
        <v>0</v>
      </c>
      <c r="Q285" s="19">
        <f>[1]TOBEPAID!Q214/1000</f>
        <v>0</v>
      </c>
      <c r="R285" s="19">
        <f>[1]TOBEPAID!R214/1000</f>
        <v>0</v>
      </c>
      <c r="S285" s="19">
        <f>[1]TOBEPAID!S214/1000</f>
        <v>0</v>
      </c>
      <c r="T285" s="19">
        <f>[1]TOBEPAID!T214/1000</f>
        <v>0</v>
      </c>
      <c r="U285" s="19">
        <f>[1]TOBEPAID!U214/1000</f>
        <v>0</v>
      </c>
      <c r="V285" s="19">
        <f>[1]TOBEPAID!V214/1000</f>
        <v>0</v>
      </c>
      <c r="W285" s="19">
        <f>[1]TOBEPAID!W214/1000</f>
        <v>0</v>
      </c>
      <c r="X285" s="19">
        <f>[1]TOBEPAID!X214/1000</f>
        <v>0</v>
      </c>
      <c r="Y285" s="19">
        <f>[1]TOBEPAID!Y214/1000</f>
        <v>0</v>
      </c>
      <c r="Z285" s="19">
        <v>0</v>
      </c>
      <c r="AA285" s="19">
        <f>[1]TOBEPAID!AA214/1000</f>
        <v>0</v>
      </c>
      <c r="AB285" s="19">
        <f>[1]TOBEPAID!AB214/1000</f>
        <v>549.23390000000006</v>
      </c>
      <c r="AC285" s="19"/>
      <c r="AD285" s="19"/>
    </row>
    <row r="286" spans="1:30" x14ac:dyDescent="0.2">
      <c r="A286" s="18"/>
      <c r="D286" s="21" t="s">
        <v>57</v>
      </c>
      <c r="E286" s="21" t="s">
        <v>57</v>
      </c>
      <c r="F286" s="21" t="s">
        <v>57</v>
      </c>
      <c r="G286" s="21"/>
      <c r="H286" s="21" t="s">
        <v>57</v>
      </c>
      <c r="I286" s="21" t="s">
        <v>57</v>
      </c>
      <c r="J286" s="21" t="s">
        <v>57</v>
      </c>
      <c r="K286" s="21" t="s">
        <v>57</v>
      </c>
      <c r="L286" s="21" t="s">
        <v>57</v>
      </c>
      <c r="M286" s="21"/>
      <c r="N286" s="21" t="s">
        <v>57</v>
      </c>
      <c r="O286" s="21" t="s">
        <v>57</v>
      </c>
      <c r="P286" s="21" t="s">
        <v>57</v>
      </c>
      <c r="Q286" s="21"/>
      <c r="R286" s="21" t="s">
        <v>57</v>
      </c>
      <c r="S286" s="21" t="s">
        <v>57</v>
      </c>
      <c r="T286" s="21" t="s">
        <v>57</v>
      </c>
      <c r="U286" s="21" t="s">
        <v>57</v>
      </c>
      <c r="V286" s="21" t="s">
        <v>57</v>
      </c>
      <c r="W286" s="21"/>
      <c r="X286" s="21" t="s">
        <v>57</v>
      </c>
      <c r="Y286" s="21" t="s">
        <v>57</v>
      </c>
      <c r="Z286" s="21" t="s">
        <v>57</v>
      </c>
      <c r="AA286" s="21" t="s">
        <v>57</v>
      </c>
      <c r="AB286" s="21" t="s">
        <v>57</v>
      </c>
      <c r="AC286" s="21"/>
      <c r="AD286" s="21"/>
    </row>
    <row r="287" spans="1:30" x14ac:dyDescent="0.2">
      <c r="A287" s="18"/>
      <c r="D287" s="19">
        <f>SUM(D270:D285)</f>
        <v>692727.09337999998</v>
      </c>
      <c r="E287" s="19">
        <f>SUM(E270:E285)</f>
        <v>16999.738300000001</v>
      </c>
      <c r="F287" s="19">
        <f>SUM(F270:F285)</f>
        <v>0</v>
      </c>
      <c r="G287" s="19"/>
      <c r="H287" s="19">
        <f>SUM(H270:H285)</f>
        <v>542742.91411000001</v>
      </c>
      <c r="I287" s="19">
        <f>SUM(I270:I285)</f>
        <v>0</v>
      </c>
      <c r="J287" s="19">
        <f>SUM(J270:J285)</f>
        <v>0</v>
      </c>
      <c r="K287" s="19">
        <f>SUM(K270:K285)</f>
        <v>0</v>
      </c>
      <c r="L287" s="19">
        <f>SUM(L270:L285)</f>
        <v>0</v>
      </c>
      <c r="M287" s="19"/>
      <c r="N287" s="19">
        <f>SUM(N270:N285)</f>
        <v>16999.738300000001</v>
      </c>
      <c r="O287" s="19">
        <f>SUM(O270:O285)</f>
        <v>1391.7039399999999</v>
      </c>
      <c r="P287" s="19">
        <f>SUM(P270:P285)</f>
        <v>0</v>
      </c>
      <c r="Q287" s="19"/>
      <c r="R287" s="19">
        <f>SUM(R270:R285)</f>
        <v>5594.7482</v>
      </c>
      <c r="S287" s="19">
        <f>SUM(S270:S285)</f>
        <v>0</v>
      </c>
      <c r="T287" s="19">
        <f>SUM(T270:T285)</f>
        <v>0</v>
      </c>
      <c r="U287" s="19">
        <f>SUM(U270:U285)</f>
        <v>0</v>
      </c>
      <c r="V287" s="19">
        <f>SUM(V270:V285)</f>
        <v>0</v>
      </c>
      <c r="W287" s="19"/>
      <c r="X287" s="19">
        <f>SUM(X270:X285)</f>
        <v>1391.7039399999999</v>
      </c>
      <c r="Y287" s="19">
        <f>SUM(Y270:Y285)</f>
        <v>548337.66555999999</v>
      </c>
      <c r="Z287" s="19">
        <f>SUM(Z270:Z285)</f>
        <v>144389.42847000001</v>
      </c>
      <c r="AA287" s="19">
        <f>SUM(AA270:AA285)</f>
        <v>18391.44224</v>
      </c>
      <c r="AB287" s="19">
        <f>SUM(AB270:AB285)</f>
        <v>25630.90468</v>
      </c>
      <c r="AC287" s="19"/>
      <c r="AD287" s="19"/>
    </row>
    <row r="288" spans="1:30" x14ac:dyDescent="0.2">
      <c r="A288" s="18"/>
      <c r="D288" s="21" t="s">
        <v>57</v>
      </c>
      <c r="E288" s="21" t="s">
        <v>57</v>
      </c>
      <c r="F288" s="21" t="s">
        <v>57</v>
      </c>
      <c r="G288" s="21"/>
      <c r="H288" s="21" t="s">
        <v>57</v>
      </c>
      <c r="I288" s="21" t="s">
        <v>57</v>
      </c>
      <c r="J288" s="21" t="s">
        <v>57</v>
      </c>
      <c r="K288" s="21" t="s">
        <v>57</v>
      </c>
      <c r="L288" s="21" t="s">
        <v>57</v>
      </c>
      <c r="M288" s="21"/>
      <c r="N288" s="21" t="s">
        <v>57</v>
      </c>
      <c r="O288" s="21" t="s">
        <v>57</v>
      </c>
      <c r="P288" s="21" t="s">
        <v>57</v>
      </c>
      <c r="Q288" s="21"/>
      <c r="R288" s="21" t="s">
        <v>57</v>
      </c>
      <c r="S288" s="21" t="s">
        <v>57</v>
      </c>
      <c r="T288" s="21" t="s">
        <v>57</v>
      </c>
      <c r="U288" s="21" t="s">
        <v>57</v>
      </c>
      <c r="V288" s="21" t="s">
        <v>57</v>
      </c>
      <c r="W288" s="21"/>
      <c r="X288" s="21" t="s">
        <v>57</v>
      </c>
      <c r="Y288" s="21" t="s">
        <v>57</v>
      </c>
      <c r="Z288" s="21" t="s">
        <v>57</v>
      </c>
      <c r="AA288" s="21" t="s">
        <v>57</v>
      </c>
      <c r="AB288" s="21" t="s">
        <v>57</v>
      </c>
      <c r="AC288" s="21"/>
      <c r="AD288" s="21"/>
    </row>
    <row r="289" spans="1:30" x14ac:dyDescent="0.2">
      <c r="A289" s="18"/>
      <c r="D289" s="21"/>
      <c r="E289" s="30"/>
      <c r="F289" s="38"/>
      <c r="G289" s="28"/>
      <c r="H289" s="27"/>
      <c r="I289" s="28"/>
      <c r="J289" s="28"/>
      <c r="K289" s="28"/>
      <c r="L289" s="27"/>
      <c r="M289" s="28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1:30" x14ac:dyDescent="0.2">
      <c r="A290" s="18">
        <v>20</v>
      </c>
      <c r="B290" s="17" t="s">
        <v>165</v>
      </c>
      <c r="C290" s="17" t="s">
        <v>51</v>
      </c>
      <c r="D290" s="19">
        <f>[1]TOBEPAID!D219/1000</f>
        <v>8363.3485300000011</v>
      </c>
      <c r="E290" s="19">
        <f>[1]TOBEPAID!E219/1000</f>
        <v>0</v>
      </c>
      <c r="F290" s="19">
        <f>[1]TOBEPAID!F219/1000</f>
        <v>0</v>
      </c>
      <c r="G290" s="19">
        <f>[1]TOBEPAID!G219/1000</f>
        <v>0</v>
      </c>
      <c r="H290" s="19">
        <f>[1]TOBEPAID!H219/1000</f>
        <v>0</v>
      </c>
      <c r="I290" s="19">
        <f>[1]TOBEPAID!I219/1000</f>
        <v>0</v>
      </c>
      <c r="J290" s="19">
        <f>[1]TOBEPAID!J219/1000</f>
        <v>0</v>
      </c>
      <c r="K290" s="19">
        <f>[1]TOBEPAID!K219/1000</f>
        <v>0</v>
      </c>
      <c r="L290" s="19">
        <f>[1]TOBEPAID!L219/1000</f>
        <v>0</v>
      </c>
      <c r="M290" s="19">
        <f>[1]TOBEPAID!M219/1000</f>
        <v>0</v>
      </c>
      <c r="N290" s="19">
        <f>[1]TOBEPAID!N219/1000</f>
        <v>0</v>
      </c>
      <c r="O290" s="19">
        <f>[1]TOBEPAID!O219/1000</f>
        <v>5840.44193</v>
      </c>
      <c r="P290" s="19">
        <f>[1]TOBEPAID!P219/1000</f>
        <v>0</v>
      </c>
      <c r="Q290" s="19">
        <f>[1]TOBEPAID!Q219/1000</f>
        <v>0</v>
      </c>
      <c r="R290" s="19">
        <f>5841473/1000</f>
        <v>5841.473</v>
      </c>
      <c r="S290" s="19">
        <f>[1]TOBEPAID!S219/1000</f>
        <v>0</v>
      </c>
      <c r="T290" s="19">
        <f>[1]TOBEPAID!T219/1000</f>
        <v>0</v>
      </c>
      <c r="U290" s="19">
        <f>[1]TOBEPAID!U219/1000</f>
        <v>0</v>
      </c>
      <c r="V290" s="19">
        <f>[1]TOBEPAID!V219/1000</f>
        <v>0</v>
      </c>
      <c r="W290" s="19">
        <f>[1]TOBEPAID!W219/1000</f>
        <v>0</v>
      </c>
      <c r="X290" s="19">
        <f>[1]TOBEPAID!X219/1000</f>
        <v>5840.44193</v>
      </c>
      <c r="Y290" s="19">
        <f>+H290+R290</f>
        <v>5841.473</v>
      </c>
      <c r="Z290" s="19">
        <f>+D290-Y290</f>
        <v>2521.8755300000012</v>
      </c>
      <c r="AA290" s="19">
        <f>[1]TOBEPAID!AA219/1000</f>
        <v>5840.44193</v>
      </c>
      <c r="AB290" s="19">
        <f>[1]TOBEPAID!AB219/1000</f>
        <v>2522.9066000000007</v>
      </c>
      <c r="AC290" s="19"/>
      <c r="AD290" s="19"/>
    </row>
    <row r="291" spans="1:30" x14ac:dyDescent="0.2">
      <c r="A291" s="18"/>
      <c r="B291" s="20" t="s">
        <v>166</v>
      </c>
      <c r="C291" s="20" t="s">
        <v>52</v>
      </c>
      <c r="D291" s="19">
        <f>[1]TOBEPAID!D220/1000</f>
        <v>2002.11168</v>
      </c>
      <c r="E291" s="19">
        <f>[1]TOBEPAID!E220/1000</f>
        <v>2002.11168</v>
      </c>
      <c r="F291" s="19">
        <f>[1]TOBEPAID!F220/1000</f>
        <v>0</v>
      </c>
      <c r="G291" s="19">
        <f>[1]TOBEPAID!G220/1000</f>
        <v>0</v>
      </c>
      <c r="H291" s="19">
        <f>[1]TOBEPAID!H220/1000</f>
        <v>2002.11168</v>
      </c>
      <c r="I291" s="19">
        <f>[1]TOBEPAID!I220/1000</f>
        <v>0</v>
      </c>
      <c r="J291" s="19">
        <f>[1]TOBEPAID!J220/1000</f>
        <v>0</v>
      </c>
      <c r="K291" s="19">
        <f>[1]TOBEPAID!K220/1000</f>
        <v>0</v>
      </c>
      <c r="L291" s="19">
        <f>[1]TOBEPAID!L220/1000</f>
        <v>0</v>
      </c>
      <c r="M291" s="19">
        <f>[1]TOBEPAID!M220/1000</f>
        <v>0</v>
      </c>
      <c r="N291" s="19">
        <f>[1]TOBEPAID!N220/1000</f>
        <v>2002.11168</v>
      </c>
      <c r="O291" s="19">
        <f>[1]TOBEPAID!O220/1000</f>
        <v>0</v>
      </c>
      <c r="P291" s="19">
        <f>[1]TOBEPAID!P220/1000</f>
        <v>0</v>
      </c>
      <c r="Q291" s="19">
        <f>[1]TOBEPAID!Q220/1000</f>
        <v>0</v>
      </c>
      <c r="R291" s="19">
        <f>[1]TOBEPAID!R220/1000</f>
        <v>0</v>
      </c>
      <c r="S291" s="19">
        <f>[1]TOBEPAID!S220/1000</f>
        <v>0</v>
      </c>
      <c r="T291" s="19">
        <f>[1]TOBEPAID!T220/1000</f>
        <v>0</v>
      </c>
      <c r="U291" s="19">
        <f>[1]TOBEPAID!U220/1000</f>
        <v>0</v>
      </c>
      <c r="V291" s="19">
        <f>[1]TOBEPAID!V220/1000</f>
        <v>0</v>
      </c>
      <c r="W291" s="19">
        <f>[1]TOBEPAID!W220/1000</f>
        <v>0</v>
      </c>
      <c r="X291" s="19">
        <f>[1]TOBEPAID!X220/1000</f>
        <v>0</v>
      </c>
      <c r="Y291" s="19">
        <f>[1]TOBEPAID!Y220/1000</f>
        <v>2002.11168</v>
      </c>
      <c r="Z291" s="19">
        <f>[1]TOBEPAID!Z220/1000</f>
        <v>0</v>
      </c>
      <c r="AA291" s="19">
        <f>[1]TOBEPAID!AA220/1000</f>
        <v>2002.11168</v>
      </c>
      <c r="AB291" s="19">
        <f>[1]TOBEPAID!AB220/1000</f>
        <v>0</v>
      </c>
      <c r="AC291" s="19"/>
      <c r="AD291" s="19"/>
    </row>
    <row r="292" spans="1:30" x14ac:dyDescent="0.2">
      <c r="A292" s="18"/>
      <c r="C292" s="20" t="s">
        <v>70</v>
      </c>
      <c r="D292" s="19">
        <f>[1]TOBEPAID!D221/1000</f>
        <v>66643</v>
      </c>
      <c r="E292" s="19">
        <f>[1]TOBEPAID!E221/1000</f>
        <v>66643</v>
      </c>
      <c r="F292" s="19">
        <f>[1]TOBEPAID!F221/1000</f>
        <v>0</v>
      </c>
      <c r="G292" s="19">
        <f>[1]TOBEPAID!G221/1000</f>
        <v>0</v>
      </c>
      <c r="H292" s="19">
        <f>[1]TOBEPAID!H221/1000</f>
        <v>66643</v>
      </c>
      <c r="I292" s="19">
        <f>[1]TOBEPAID!I221/1000</f>
        <v>0</v>
      </c>
      <c r="J292" s="19">
        <f>[1]TOBEPAID!J221/1000</f>
        <v>0</v>
      </c>
      <c r="K292" s="19">
        <f>[1]TOBEPAID!K221/1000</f>
        <v>0</v>
      </c>
      <c r="L292" s="19">
        <f>[1]TOBEPAID!L221/1000</f>
        <v>0</v>
      </c>
      <c r="M292" s="19">
        <f>[1]TOBEPAID!M221/1000</f>
        <v>0</v>
      </c>
      <c r="N292" s="19">
        <f>[1]TOBEPAID!N221/1000</f>
        <v>66643</v>
      </c>
      <c r="O292" s="19">
        <f>[1]TOBEPAID!O221/1000</f>
        <v>0</v>
      </c>
      <c r="P292" s="19">
        <f>[1]TOBEPAID!P221/1000</f>
        <v>0</v>
      </c>
      <c r="Q292" s="19">
        <f>[1]TOBEPAID!Q221/1000</f>
        <v>0</v>
      </c>
      <c r="R292" s="19">
        <f>[1]TOBEPAID!R221/1000</f>
        <v>0</v>
      </c>
      <c r="S292" s="19">
        <f>[1]TOBEPAID!S221/1000</f>
        <v>0</v>
      </c>
      <c r="T292" s="19">
        <f>[1]TOBEPAID!T221/1000</f>
        <v>0</v>
      </c>
      <c r="U292" s="19">
        <f>[1]TOBEPAID!U221/1000</f>
        <v>0</v>
      </c>
      <c r="V292" s="19">
        <f>[1]TOBEPAID!V221/1000</f>
        <v>0</v>
      </c>
      <c r="W292" s="19">
        <f>[1]TOBEPAID!W221/1000</f>
        <v>0</v>
      </c>
      <c r="X292" s="19">
        <f>[1]TOBEPAID!X221/1000</f>
        <v>0</v>
      </c>
      <c r="Y292" s="19">
        <f>[1]TOBEPAID!Y221/1000</f>
        <v>66643</v>
      </c>
      <c r="Z292" s="19">
        <f>[1]TOBEPAID!Z221/1000</f>
        <v>0</v>
      </c>
      <c r="AA292" s="19">
        <f>[1]TOBEPAID!AA221/1000</f>
        <v>66643</v>
      </c>
      <c r="AB292" s="19">
        <f>[1]TOBEPAID!AB221/1000</f>
        <v>0</v>
      </c>
      <c r="AC292" s="19"/>
      <c r="AD292" s="19"/>
    </row>
    <row r="293" spans="1:30" x14ac:dyDescent="0.2">
      <c r="A293" s="18"/>
      <c r="C293" s="54" t="s">
        <v>167</v>
      </c>
      <c r="D293" s="19">
        <f>[1]TOBEPAID!D222/1000</f>
        <v>3358.89077</v>
      </c>
      <c r="E293" s="19">
        <f>[1]TOBEPAID!E222/1000</f>
        <v>3358.89077</v>
      </c>
      <c r="F293" s="19">
        <f>[1]TOBEPAID!F222/1000</f>
        <v>0</v>
      </c>
      <c r="G293" s="19">
        <f>[1]TOBEPAID!G222/1000</f>
        <v>0</v>
      </c>
      <c r="H293" s="19">
        <f>[1]TOBEPAID!H222/1000</f>
        <v>3358.89077</v>
      </c>
      <c r="I293" s="19">
        <f>[1]TOBEPAID!I222/1000</f>
        <v>0</v>
      </c>
      <c r="J293" s="19">
        <f>[1]TOBEPAID!J222/1000</f>
        <v>0</v>
      </c>
      <c r="K293" s="19">
        <f>[1]TOBEPAID!K222/1000</f>
        <v>0</v>
      </c>
      <c r="L293" s="19">
        <f>[1]TOBEPAID!L222/1000</f>
        <v>0</v>
      </c>
      <c r="M293" s="19">
        <f>[1]TOBEPAID!M222/1000</f>
        <v>0</v>
      </c>
      <c r="N293" s="19">
        <f>[1]TOBEPAID!N222/1000</f>
        <v>3358.89077</v>
      </c>
      <c r="O293" s="19">
        <f>[1]TOBEPAID!O222/1000</f>
        <v>0</v>
      </c>
      <c r="P293" s="19">
        <f>[1]TOBEPAID!P222/1000</f>
        <v>0</v>
      </c>
      <c r="Q293" s="19">
        <f>[1]TOBEPAID!Q222/1000</f>
        <v>0</v>
      </c>
      <c r="R293" s="19">
        <f>[1]TOBEPAID!R222/1000</f>
        <v>0</v>
      </c>
      <c r="S293" s="19">
        <f>[1]TOBEPAID!S222/1000</f>
        <v>0</v>
      </c>
      <c r="T293" s="19">
        <f>[1]TOBEPAID!T222/1000</f>
        <v>0</v>
      </c>
      <c r="U293" s="19">
        <f>[1]TOBEPAID!U222/1000</f>
        <v>0</v>
      </c>
      <c r="V293" s="19">
        <f>[1]TOBEPAID!V222/1000</f>
        <v>0</v>
      </c>
      <c r="W293" s="19">
        <f>[1]TOBEPAID!W222/1000</f>
        <v>0</v>
      </c>
      <c r="X293" s="19">
        <f>[1]TOBEPAID!X222/1000</f>
        <v>0</v>
      </c>
      <c r="Y293" s="19">
        <f>[1]TOBEPAID!Y222/1000</f>
        <v>3358.89077</v>
      </c>
      <c r="Z293" s="19">
        <f>[1]TOBEPAID!Z222/1000</f>
        <v>0</v>
      </c>
      <c r="AA293" s="19">
        <f>[1]TOBEPAID!AA222/1000</f>
        <v>3358.89077</v>
      </c>
      <c r="AB293" s="19">
        <f>[1]TOBEPAID!AB222/1000</f>
        <v>0</v>
      </c>
      <c r="AC293" s="19"/>
      <c r="AD293" s="19"/>
    </row>
    <row r="294" spans="1:30" x14ac:dyDescent="0.2">
      <c r="A294" s="18"/>
      <c r="C294" s="17" t="s">
        <v>96</v>
      </c>
      <c r="D294" s="19">
        <f>[1]TOBEPAID!D223/1000</f>
        <v>30402.91229</v>
      </c>
      <c r="E294" s="19">
        <f>[1]TOBEPAID!E223/1000</f>
        <v>0</v>
      </c>
      <c r="F294" s="19">
        <f>[1]TOBEPAID!F223/1000</f>
        <v>0</v>
      </c>
      <c r="G294" s="19">
        <f>[1]TOBEPAID!G223/1000</f>
        <v>0</v>
      </c>
      <c r="H294" s="19">
        <f>[1]TOBEPAID!H223/1000</f>
        <v>0</v>
      </c>
      <c r="I294" s="19">
        <f>[1]TOBEPAID!I223/1000</f>
        <v>0</v>
      </c>
      <c r="J294" s="19">
        <f>[1]TOBEPAID!J223/1000</f>
        <v>0</v>
      </c>
      <c r="K294" s="19">
        <f>[1]TOBEPAID!K223/1000</f>
        <v>0</v>
      </c>
      <c r="L294" s="19">
        <f>[1]TOBEPAID!L223/1000</f>
        <v>0</v>
      </c>
      <c r="M294" s="19">
        <f>[1]TOBEPAID!M223/1000</f>
        <v>0</v>
      </c>
      <c r="N294" s="19">
        <f>[1]TOBEPAID!N223/1000</f>
        <v>0</v>
      </c>
      <c r="O294" s="19">
        <f>[1]TOBEPAID!O223/1000</f>
        <v>15770.403679999998</v>
      </c>
      <c r="P294" s="19">
        <f>[1]TOBEPAID!P223/1000</f>
        <v>0</v>
      </c>
      <c r="Q294" s="19">
        <f>[1]TOBEPAID!Q223/1000</f>
        <v>0</v>
      </c>
      <c r="R294" s="19">
        <f>[1]TOBEPAID!R223/1000</f>
        <v>15770.403679999998</v>
      </c>
      <c r="S294" s="19">
        <f>[1]TOBEPAID!S223/1000</f>
        <v>0</v>
      </c>
      <c r="T294" s="19">
        <f>[1]TOBEPAID!T223/1000</f>
        <v>0</v>
      </c>
      <c r="U294" s="19">
        <f>[1]TOBEPAID!U223/1000</f>
        <v>0</v>
      </c>
      <c r="V294" s="19">
        <f>[1]TOBEPAID!V223/1000</f>
        <v>0</v>
      </c>
      <c r="W294" s="19">
        <f>[1]TOBEPAID!W223/1000</f>
        <v>0</v>
      </c>
      <c r="X294" s="19">
        <f>[1]TOBEPAID!X223/1000</f>
        <v>15770.403679999998</v>
      </c>
      <c r="Y294" s="19">
        <f>[1]TOBEPAID!Y223/1000</f>
        <v>15770.403679999998</v>
      </c>
      <c r="Z294" s="19">
        <f>[1]TOBEPAID!Z223/1000</f>
        <v>14632.508610000001</v>
      </c>
      <c r="AA294" s="19">
        <f>[1]TOBEPAID!AA223/1000</f>
        <v>15770.403679999998</v>
      </c>
      <c r="AB294" s="19">
        <f>[1]TOBEPAID!AB223/1000</f>
        <v>14632.508610000001</v>
      </c>
      <c r="AC294" s="19"/>
      <c r="AD294" s="19"/>
    </row>
    <row r="295" spans="1:30" x14ac:dyDescent="0.2">
      <c r="A295" s="18"/>
      <c r="C295" s="17" t="s">
        <v>97</v>
      </c>
      <c r="D295" s="19">
        <f>[1]TOBEPAID!D224/1000</f>
        <v>21464.584869999999</v>
      </c>
      <c r="E295" s="19">
        <f>[1]TOBEPAID!E224/1000</f>
        <v>0</v>
      </c>
      <c r="F295" s="19">
        <f>[1]TOBEPAID!F224/1000</f>
        <v>0</v>
      </c>
      <c r="G295" s="19">
        <f>[1]TOBEPAID!G224/1000</f>
        <v>0</v>
      </c>
      <c r="H295" s="19">
        <f>[1]TOBEPAID!H224/1000</f>
        <v>0</v>
      </c>
      <c r="I295" s="19">
        <f>[1]TOBEPAID!I224/1000</f>
        <v>0</v>
      </c>
      <c r="J295" s="19">
        <f>[1]TOBEPAID!J224/1000</f>
        <v>0</v>
      </c>
      <c r="K295" s="19">
        <f>[1]TOBEPAID!K224/1000</f>
        <v>0</v>
      </c>
      <c r="L295" s="19">
        <f>[1]TOBEPAID!L224/1000</f>
        <v>0</v>
      </c>
      <c r="M295" s="19">
        <f>[1]TOBEPAID!M224/1000</f>
        <v>0</v>
      </c>
      <c r="N295" s="19">
        <f>[1]TOBEPAID!N224/1000</f>
        <v>0</v>
      </c>
      <c r="O295" s="19">
        <f>[1]TOBEPAID!O224/1000</f>
        <v>21464.584870000002</v>
      </c>
      <c r="P295" s="19">
        <f>[1]TOBEPAID!P224/1000</f>
        <v>0</v>
      </c>
      <c r="Q295" s="19">
        <f>[1]TOBEPAID!Q224/1000</f>
        <v>0</v>
      </c>
      <c r="R295" s="19">
        <f>[1]TOBEPAID!R224/1000</f>
        <v>21464.584870000002</v>
      </c>
      <c r="S295" s="19">
        <f>[1]TOBEPAID!S224/1000</f>
        <v>0</v>
      </c>
      <c r="T295" s="19">
        <f>[1]TOBEPAID!T224/1000</f>
        <v>0</v>
      </c>
      <c r="U295" s="19">
        <f>[1]TOBEPAID!U224/1000</f>
        <v>0</v>
      </c>
      <c r="V295" s="19">
        <f>[1]TOBEPAID!V224/1000</f>
        <v>0</v>
      </c>
      <c r="W295" s="19">
        <f>[1]TOBEPAID!W224/1000</f>
        <v>0</v>
      </c>
      <c r="X295" s="19">
        <f>[1]TOBEPAID!X224/1000</f>
        <v>21464.584870000002</v>
      </c>
      <c r="Y295" s="19">
        <f>[1]TOBEPAID!Y224/1000</f>
        <v>21464.584870000002</v>
      </c>
      <c r="Z295" s="19">
        <f>[1]TOBEPAID!Z224/1000</f>
        <v>0</v>
      </c>
      <c r="AA295" s="19">
        <f>[1]TOBEPAID!AA224/1000</f>
        <v>21464.584870000002</v>
      </c>
      <c r="AB295" s="19">
        <f>[1]TOBEPAID!AB224/1000</f>
        <v>0</v>
      </c>
      <c r="AC295" s="19"/>
      <c r="AD295" s="19"/>
    </row>
    <row r="296" spans="1:30" x14ac:dyDescent="0.2">
      <c r="A296" s="18"/>
      <c r="D296" s="21" t="s">
        <v>57</v>
      </c>
      <c r="E296" s="21" t="s">
        <v>57</v>
      </c>
      <c r="F296" s="21" t="s">
        <v>57</v>
      </c>
      <c r="G296" s="21"/>
      <c r="H296" s="21" t="s">
        <v>57</v>
      </c>
      <c r="I296" s="21" t="s">
        <v>57</v>
      </c>
      <c r="J296" s="21" t="s">
        <v>57</v>
      </c>
      <c r="K296" s="21" t="s">
        <v>57</v>
      </c>
      <c r="L296" s="21" t="s">
        <v>57</v>
      </c>
      <c r="M296" s="21"/>
      <c r="N296" s="21" t="s">
        <v>57</v>
      </c>
      <c r="O296" s="21" t="s">
        <v>57</v>
      </c>
      <c r="P296" s="21" t="s">
        <v>57</v>
      </c>
      <c r="Q296" s="21"/>
      <c r="R296" s="21" t="s">
        <v>57</v>
      </c>
      <c r="S296" s="21" t="s">
        <v>57</v>
      </c>
      <c r="T296" s="21" t="s">
        <v>57</v>
      </c>
      <c r="U296" s="21" t="s">
        <v>57</v>
      </c>
      <c r="V296" s="21" t="s">
        <v>57</v>
      </c>
      <c r="W296" s="21"/>
      <c r="X296" s="21" t="s">
        <v>57</v>
      </c>
      <c r="Y296" s="21" t="s">
        <v>57</v>
      </c>
      <c r="Z296" s="21" t="s">
        <v>57</v>
      </c>
      <c r="AA296" s="21" t="s">
        <v>57</v>
      </c>
      <c r="AB296" s="21" t="s">
        <v>57</v>
      </c>
      <c r="AC296" s="21"/>
      <c r="AD296" s="21"/>
    </row>
    <row r="297" spans="1:30" x14ac:dyDescent="0.2">
      <c r="A297" s="18"/>
      <c r="D297" s="19">
        <f t="shared" ref="D297:AB297" si="50">SUM(D290:D295)</f>
        <v>132234.84813999999</v>
      </c>
      <c r="E297" s="19">
        <f t="shared" si="50"/>
        <v>72004.00245</v>
      </c>
      <c r="F297" s="19">
        <f t="shared" si="50"/>
        <v>0</v>
      </c>
      <c r="G297" s="19"/>
      <c r="H297" s="19">
        <f t="shared" si="50"/>
        <v>72004.00245</v>
      </c>
      <c r="I297" s="19">
        <f t="shared" si="50"/>
        <v>0</v>
      </c>
      <c r="J297" s="19">
        <f t="shared" si="50"/>
        <v>0</v>
      </c>
      <c r="K297" s="19">
        <f t="shared" si="50"/>
        <v>0</v>
      </c>
      <c r="L297" s="19">
        <f t="shared" si="50"/>
        <v>0</v>
      </c>
      <c r="M297" s="19"/>
      <c r="N297" s="19">
        <f t="shared" si="50"/>
        <v>72004.00245</v>
      </c>
      <c r="O297" s="19">
        <f t="shared" si="50"/>
        <v>43075.430479999995</v>
      </c>
      <c r="P297" s="19">
        <f t="shared" si="50"/>
        <v>0</v>
      </c>
      <c r="Q297" s="19"/>
      <c r="R297" s="19">
        <f t="shared" si="50"/>
        <v>43076.46155</v>
      </c>
      <c r="S297" s="19">
        <f t="shared" si="50"/>
        <v>0</v>
      </c>
      <c r="T297" s="19">
        <f t="shared" si="50"/>
        <v>0</v>
      </c>
      <c r="U297" s="19">
        <f t="shared" si="50"/>
        <v>0</v>
      </c>
      <c r="V297" s="19">
        <f t="shared" si="50"/>
        <v>0</v>
      </c>
      <c r="W297" s="19"/>
      <c r="X297" s="19">
        <f t="shared" si="50"/>
        <v>43075.430479999995</v>
      </c>
      <c r="Y297" s="19">
        <f t="shared" si="50"/>
        <v>115080.46400000001</v>
      </c>
      <c r="Z297" s="19">
        <f t="shared" si="50"/>
        <v>17154.384140000002</v>
      </c>
      <c r="AA297" s="19">
        <f t="shared" si="50"/>
        <v>115079.43293000001</v>
      </c>
      <c r="AB297" s="19">
        <f t="shared" si="50"/>
        <v>17155.415210000003</v>
      </c>
      <c r="AC297" s="19"/>
      <c r="AD297" s="19"/>
    </row>
    <row r="298" spans="1:30" x14ac:dyDescent="0.2">
      <c r="A298" s="18"/>
      <c r="B298" s="3" t="s">
        <v>168</v>
      </c>
      <c r="D298" s="21" t="s">
        <v>57</v>
      </c>
      <c r="E298" s="21" t="s">
        <v>57</v>
      </c>
      <c r="F298" s="21" t="s">
        <v>57</v>
      </c>
      <c r="G298" s="21"/>
      <c r="H298" s="21" t="s">
        <v>57</v>
      </c>
      <c r="I298" s="21" t="s">
        <v>57</v>
      </c>
      <c r="J298" s="21" t="s">
        <v>57</v>
      </c>
      <c r="K298" s="21" t="s">
        <v>57</v>
      </c>
      <c r="L298" s="21" t="s">
        <v>57</v>
      </c>
      <c r="M298" s="21"/>
      <c r="N298" s="21" t="s">
        <v>57</v>
      </c>
      <c r="O298" s="21" t="s">
        <v>57</v>
      </c>
      <c r="P298" s="21" t="s">
        <v>57</v>
      </c>
      <c r="Q298" s="21"/>
      <c r="R298" s="21" t="s">
        <v>57</v>
      </c>
      <c r="S298" s="21" t="s">
        <v>57</v>
      </c>
      <c r="T298" s="21" t="s">
        <v>57</v>
      </c>
      <c r="U298" s="21" t="s">
        <v>57</v>
      </c>
      <c r="V298" s="21" t="s">
        <v>57</v>
      </c>
      <c r="W298" s="21"/>
      <c r="X298" s="21" t="s">
        <v>57</v>
      </c>
      <c r="Y298" s="21" t="s">
        <v>57</v>
      </c>
      <c r="Z298" s="21" t="s">
        <v>57</v>
      </c>
      <c r="AA298" s="21" t="s">
        <v>57</v>
      </c>
      <c r="AB298" s="21" t="s">
        <v>57</v>
      </c>
      <c r="AC298" s="21"/>
      <c r="AD298" s="21"/>
    </row>
    <row r="299" spans="1:30" ht="15.75" thickBot="1" x14ac:dyDescent="0.25">
      <c r="A299" s="18"/>
      <c r="B299" s="22" t="s">
        <v>58</v>
      </c>
      <c r="D299" s="23">
        <f>[1]TOBEPAID!D228/1000</f>
        <v>181.75254999999999</v>
      </c>
      <c r="E299" s="19">
        <f>[1]TOBEPAID!E228/1000</f>
        <v>0</v>
      </c>
      <c r="F299" s="19">
        <f>[1]TOBEPAID!F228/1000</f>
        <v>0</v>
      </c>
      <c r="G299" s="19">
        <f>[1]TOBEPAID!G228/1000</f>
        <v>0</v>
      </c>
      <c r="H299" s="19"/>
      <c r="I299" s="19">
        <f>[1]TOBEPAID!I228/1000</f>
        <v>0</v>
      </c>
      <c r="J299" s="19">
        <f>[1]TOBEPAID!J228/1000</f>
        <v>0</v>
      </c>
      <c r="K299" s="19">
        <f>[1]TOBEPAID!K228/1000</f>
        <v>0</v>
      </c>
      <c r="L299" s="19">
        <f>[1]TOBEPAID!L228/1000</f>
        <v>0</v>
      </c>
      <c r="M299" s="19">
        <f>[1]TOBEPAID!M228/1000</f>
        <v>0</v>
      </c>
      <c r="N299" s="19">
        <f>[1]TOBEPAID!N228/1000</f>
        <v>0</v>
      </c>
      <c r="O299" s="19">
        <f>[1]TOBEPAID!O228/1000</f>
        <v>181.75254999999999</v>
      </c>
      <c r="P299" s="19">
        <f>[1]TOBEPAID!P228/1000</f>
        <v>0</v>
      </c>
      <c r="Q299" s="19">
        <f>[1]TOBEPAID!Q228/1000</f>
        <v>0</v>
      </c>
      <c r="R299" s="23">
        <f>[1]TOBEPAID!R228/1000</f>
        <v>181.75254999999999</v>
      </c>
      <c r="S299" s="19">
        <f>[1]TOBEPAID!S228/1000</f>
        <v>0</v>
      </c>
      <c r="T299" s="19">
        <f>[1]TOBEPAID!T228/1000</f>
        <v>0</v>
      </c>
      <c r="U299" s="19">
        <f>[1]TOBEPAID!U228/1000</f>
        <v>0</v>
      </c>
      <c r="V299" s="19">
        <f>[1]TOBEPAID!V228/1000</f>
        <v>0</v>
      </c>
      <c r="W299" s="19">
        <f>[1]TOBEPAID!W228/1000</f>
        <v>0</v>
      </c>
      <c r="X299" s="19">
        <f>[1]TOBEPAID!X228/1000</f>
        <v>0</v>
      </c>
      <c r="Y299" s="23">
        <f>+H299+R299</f>
        <v>181.75254999999999</v>
      </c>
      <c r="Z299" s="23">
        <f>[1]TOBEPAID!Z228/1000</f>
        <v>0</v>
      </c>
      <c r="AA299" s="19">
        <f>[1]TOBEPAID!AA228/1000</f>
        <v>0</v>
      </c>
      <c r="AB299" s="19">
        <f>[1]TOBEPAID!AB228/1000</f>
        <v>0</v>
      </c>
      <c r="AC299" s="19"/>
      <c r="AD299" s="19"/>
    </row>
    <row r="300" spans="1:30" ht="15.75" thickTop="1" x14ac:dyDescent="0.2">
      <c r="A300" s="18">
        <v>21</v>
      </c>
      <c r="B300" s="17" t="s">
        <v>169</v>
      </c>
      <c r="C300" s="17" t="s">
        <v>51</v>
      </c>
      <c r="D300" s="19">
        <f>11381949/1000</f>
        <v>11381.949000000001</v>
      </c>
      <c r="E300" s="19">
        <f>[1]TOBEPAID!E229/1000</f>
        <v>0</v>
      </c>
      <c r="F300" s="19">
        <f>[1]TOBEPAID!F229/1000</f>
        <v>0</v>
      </c>
      <c r="G300" s="19">
        <f>[1]TOBEPAID!G229/1000</f>
        <v>0</v>
      </c>
      <c r="H300" s="19">
        <f>11381949/1000</f>
        <v>11381.949000000001</v>
      </c>
      <c r="I300" s="19">
        <f>[1]TOBEPAID!I229/1000</f>
        <v>0</v>
      </c>
      <c r="J300" s="19">
        <f>[1]TOBEPAID!J229/1000</f>
        <v>0</v>
      </c>
      <c r="K300" s="19">
        <f>[1]TOBEPAID!K229/1000</f>
        <v>0</v>
      </c>
      <c r="L300" s="19">
        <f>[1]TOBEPAID!L229/1000</f>
        <v>0</v>
      </c>
      <c r="M300" s="19">
        <f>[1]TOBEPAID!M229/1000</f>
        <v>0</v>
      </c>
      <c r="N300" s="19">
        <f>[1]TOBEPAID!N229/1000</f>
        <v>0</v>
      </c>
      <c r="O300" s="19">
        <f>[1]TOBEPAID!O229/1000</f>
        <v>0</v>
      </c>
      <c r="P300" s="19">
        <f>[1]TOBEPAID!P229/1000</f>
        <v>0</v>
      </c>
      <c r="Q300" s="19">
        <f>[1]TOBEPAID!Q229/1000</f>
        <v>0</v>
      </c>
      <c r="R300" s="19">
        <v>0</v>
      </c>
      <c r="S300" s="19">
        <f>[1]TOBEPAID!S229/1000</f>
        <v>0</v>
      </c>
      <c r="T300" s="19">
        <f>[1]TOBEPAID!T229/1000</f>
        <v>0</v>
      </c>
      <c r="U300" s="19">
        <f>[1]TOBEPAID!U229/1000</f>
        <v>0</v>
      </c>
      <c r="V300" s="19">
        <f>[1]TOBEPAID!V229/1000</f>
        <v>0</v>
      </c>
      <c r="W300" s="19">
        <f>[1]TOBEPAID!W229/1000</f>
        <v>0</v>
      </c>
      <c r="X300" s="19">
        <f>[1]TOBEPAID!X229/1000</f>
        <v>0</v>
      </c>
      <c r="Y300" s="19">
        <f>+H300+R300</f>
        <v>11381.949000000001</v>
      </c>
      <c r="Z300" s="19">
        <f t="shared" ref="Z300:Z309" si="51">+D300-Y300</f>
        <v>0</v>
      </c>
      <c r="AA300" s="19">
        <f>[1]TOBEPAID!AA229/1000</f>
        <v>0</v>
      </c>
      <c r="AB300" s="19">
        <f>[1]TOBEPAID!AB229/1000</f>
        <v>18211.914420000001</v>
      </c>
      <c r="AC300" s="19"/>
      <c r="AD300" s="19"/>
    </row>
    <row r="301" spans="1:30" x14ac:dyDescent="0.2">
      <c r="A301" s="18"/>
      <c r="B301" s="17"/>
      <c r="C301" s="17" t="s">
        <v>110</v>
      </c>
      <c r="D301" s="19">
        <f>190525000/1000</f>
        <v>190525</v>
      </c>
      <c r="E301" s="19"/>
      <c r="F301" s="19"/>
      <c r="G301" s="19"/>
      <c r="H301" s="19">
        <f>47612134/1000</f>
        <v>47612.133999999998</v>
      </c>
      <c r="I301" s="19"/>
      <c r="J301" s="19"/>
      <c r="K301" s="19"/>
      <c r="L301" s="19"/>
      <c r="M301" s="19"/>
      <c r="N301" s="19"/>
      <c r="O301" s="19"/>
      <c r="P301" s="19"/>
      <c r="Q301" s="19"/>
      <c r="R301" s="19">
        <v>0</v>
      </c>
      <c r="S301" s="19"/>
      <c r="T301" s="19"/>
      <c r="U301" s="19"/>
      <c r="V301" s="19"/>
      <c r="W301" s="19"/>
      <c r="X301" s="19"/>
      <c r="Y301" s="19">
        <f>+H301+R301</f>
        <v>47612.133999999998</v>
      </c>
      <c r="Z301" s="19">
        <f t="shared" si="51"/>
        <v>142912.86600000001</v>
      </c>
      <c r="AA301" s="19"/>
      <c r="AB301" s="19"/>
      <c r="AC301" s="19"/>
      <c r="AD301" s="19"/>
    </row>
    <row r="302" spans="1:30" x14ac:dyDescent="0.2">
      <c r="C302" s="3" t="s">
        <v>53</v>
      </c>
      <c r="D302" s="19">
        <f>6525670/1000</f>
        <v>6525.67</v>
      </c>
      <c r="E302" s="19">
        <f>[1]TOBEPAID!E230/1000</f>
        <v>6525.6702500000001</v>
      </c>
      <c r="F302" s="19">
        <f>[1]TOBEPAID!F230/1000</f>
        <v>0</v>
      </c>
      <c r="G302" s="19">
        <f>[1]TOBEPAID!G230/1000</f>
        <v>0</v>
      </c>
      <c r="H302" s="19">
        <f>6525670/1000</f>
        <v>6525.67</v>
      </c>
      <c r="I302" s="19">
        <f>[1]TOBEPAID!I230/1000</f>
        <v>0</v>
      </c>
      <c r="J302" s="19">
        <f>[1]TOBEPAID!J230/1000</f>
        <v>0</v>
      </c>
      <c r="K302" s="19">
        <f>[1]TOBEPAID!K230/1000</f>
        <v>0</v>
      </c>
      <c r="L302" s="19">
        <f>[1]TOBEPAID!L230/1000</f>
        <v>0</v>
      </c>
      <c r="M302" s="19">
        <f>[1]TOBEPAID!M230/1000</f>
        <v>0</v>
      </c>
      <c r="N302" s="19">
        <f>[1]TOBEPAID!N230/1000</f>
        <v>6525.6702500000001</v>
      </c>
      <c r="O302" s="19">
        <f>[1]TOBEPAID!O230/1000</f>
        <v>0</v>
      </c>
      <c r="P302" s="19">
        <f>[1]TOBEPAID!P230/1000</f>
        <v>0</v>
      </c>
      <c r="Q302" s="19">
        <f>[1]TOBEPAID!Q230/1000</f>
        <v>0</v>
      </c>
      <c r="R302" s="19">
        <v>0</v>
      </c>
      <c r="S302" s="19">
        <f>[1]TOBEPAID!S230/1000</f>
        <v>0</v>
      </c>
      <c r="T302" s="19">
        <f>[1]TOBEPAID!T230/1000</f>
        <v>0</v>
      </c>
      <c r="U302" s="19">
        <f>[1]TOBEPAID!U230/1000</f>
        <v>0</v>
      </c>
      <c r="V302" s="19">
        <f>[1]TOBEPAID!V230/1000</f>
        <v>0</v>
      </c>
      <c r="W302" s="19">
        <f>[1]TOBEPAID!W230/1000</f>
        <v>0</v>
      </c>
      <c r="X302" s="19">
        <f>[1]TOBEPAID!X230/1000</f>
        <v>0</v>
      </c>
      <c r="Y302" s="19">
        <f t="shared" ref="Y302:Y309" si="52">+H302+R302</f>
        <v>6525.67</v>
      </c>
      <c r="Z302" s="19">
        <f t="shared" si="51"/>
        <v>0</v>
      </c>
      <c r="AA302" s="19">
        <f>[1]TOBEPAID!AA230/1000</f>
        <v>6525.6702500000001</v>
      </c>
      <c r="AB302" s="19">
        <f>[1]TOBEPAID!AB230/1000</f>
        <v>0</v>
      </c>
      <c r="AC302" s="19"/>
      <c r="AD302" s="19"/>
    </row>
    <row r="303" spans="1:30" x14ac:dyDescent="0.2">
      <c r="C303" s="3" t="s">
        <v>75</v>
      </c>
      <c r="D303" s="19">
        <f>6526000/1000</f>
        <v>6526</v>
      </c>
      <c r="E303" s="19"/>
      <c r="F303" s="19"/>
      <c r="G303" s="19"/>
      <c r="H303" s="19">
        <f>6526000/1000</f>
        <v>6526</v>
      </c>
      <c r="I303" s="19"/>
      <c r="J303" s="19"/>
      <c r="K303" s="19"/>
      <c r="L303" s="19"/>
      <c r="M303" s="19"/>
      <c r="N303" s="19"/>
      <c r="O303" s="19"/>
      <c r="P303" s="19"/>
      <c r="Q303" s="19"/>
      <c r="R303" s="19">
        <v>0</v>
      </c>
      <c r="S303" s="19"/>
      <c r="T303" s="19"/>
      <c r="U303" s="19"/>
      <c r="V303" s="19"/>
      <c r="W303" s="19"/>
      <c r="X303" s="19"/>
      <c r="Y303" s="19">
        <f t="shared" si="52"/>
        <v>6526</v>
      </c>
      <c r="Z303" s="19">
        <f t="shared" si="51"/>
        <v>0</v>
      </c>
      <c r="AA303" s="19"/>
      <c r="AB303" s="19"/>
      <c r="AC303" s="19"/>
      <c r="AD303" s="19"/>
    </row>
    <row r="304" spans="1:30" x14ac:dyDescent="0.2">
      <c r="C304" s="3" t="s">
        <v>161</v>
      </c>
      <c r="D304" s="19">
        <f>20074460/1000</f>
        <v>20074.46</v>
      </c>
      <c r="E304" s="19"/>
      <c r="F304" s="19"/>
      <c r="G304" s="19"/>
      <c r="H304" s="19">
        <f>20074460/1000</f>
        <v>20074.46</v>
      </c>
      <c r="I304" s="19"/>
      <c r="J304" s="19"/>
      <c r="K304" s="19"/>
      <c r="L304" s="19"/>
      <c r="M304" s="19"/>
      <c r="N304" s="19"/>
      <c r="O304" s="19"/>
      <c r="P304" s="19"/>
      <c r="Q304" s="19"/>
      <c r="R304" s="19">
        <v>0</v>
      </c>
      <c r="S304" s="19"/>
      <c r="T304" s="19"/>
      <c r="U304" s="19"/>
      <c r="V304" s="19"/>
      <c r="W304" s="19"/>
      <c r="X304" s="19"/>
      <c r="Y304" s="19">
        <f t="shared" si="52"/>
        <v>20074.46</v>
      </c>
      <c r="Z304" s="19">
        <f t="shared" si="51"/>
        <v>0</v>
      </c>
      <c r="AA304" s="19"/>
      <c r="AB304" s="19"/>
      <c r="AC304" s="19"/>
      <c r="AD304" s="19"/>
    </row>
    <row r="305" spans="1:30" x14ac:dyDescent="0.2">
      <c r="A305" s="18"/>
      <c r="C305" s="20" t="s">
        <v>52</v>
      </c>
      <c r="D305" s="19">
        <f>1918446/1000</f>
        <v>1918.4459999999999</v>
      </c>
      <c r="E305" s="19">
        <f>[1]TOBEPAID!E231/1000</f>
        <v>1918.4463500000002</v>
      </c>
      <c r="F305" s="19">
        <f>[1]TOBEPAID!F231/1000</f>
        <v>0</v>
      </c>
      <c r="G305" s="19">
        <f>[1]TOBEPAID!G231/1000</f>
        <v>0</v>
      </c>
      <c r="H305" s="19">
        <f>1918446/1000</f>
        <v>1918.4459999999999</v>
      </c>
      <c r="I305" s="19">
        <f>[1]TOBEPAID!I231/1000</f>
        <v>0</v>
      </c>
      <c r="J305" s="19">
        <f>[1]TOBEPAID!J231/1000</f>
        <v>0</v>
      </c>
      <c r="K305" s="19">
        <f>[1]TOBEPAID!K231/1000</f>
        <v>0</v>
      </c>
      <c r="L305" s="19">
        <f>[1]TOBEPAID!L231/1000</f>
        <v>0</v>
      </c>
      <c r="M305" s="19">
        <f>[1]TOBEPAID!M231/1000</f>
        <v>0</v>
      </c>
      <c r="N305" s="19">
        <f>[1]TOBEPAID!N231/1000</f>
        <v>1918.4463500000002</v>
      </c>
      <c r="O305" s="19">
        <f>[1]TOBEPAID!O231/1000</f>
        <v>0</v>
      </c>
      <c r="P305" s="19">
        <f>[1]TOBEPAID!P231/1000</f>
        <v>0</v>
      </c>
      <c r="Q305" s="19">
        <f>[1]TOBEPAID!Q231/1000</f>
        <v>0</v>
      </c>
      <c r="R305" s="19">
        <v>0</v>
      </c>
      <c r="S305" s="19">
        <f>[1]TOBEPAID!S231/1000</f>
        <v>0</v>
      </c>
      <c r="T305" s="19">
        <f>[1]TOBEPAID!T231/1000</f>
        <v>0</v>
      </c>
      <c r="U305" s="19">
        <f>[1]TOBEPAID!U231/1000</f>
        <v>0</v>
      </c>
      <c r="V305" s="19">
        <f>[1]TOBEPAID!V231/1000</f>
        <v>0</v>
      </c>
      <c r="W305" s="19">
        <f>[1]TOBEPAID!W231/1000</f>
        <v>0</v>
      </c>
      <c r="X305" s="19">
        <f>[1]TOBEPAID!X231/1000</f>
        <v>0</v>
      </c>
      <c r="Y305" s="19">
        <f t="shared" si="52"/>
        <v>1918.4459999999999</v>
      </c>
      <c r="Z305" s="19">
        <f t="shared" si="51"/>
        <v>0</v>
      </c>
      <c r="AA305" s="19">
        <f>[1]TOBEPAID!AA231/1000</f>
        <v>1918.4463500000002</v>
      </c>
      <c r="AB305" s="19">
        <f>[1]TOBEPAID!AB231/1000</f>
        <v>0</v>
      </c>
      <c r="AC305" s="19"/>
      <c r="AD305" s="19"/>
    </row>
    <row r="306" spans="1:30" x14ac:dyDescent="0.2">
      <c r="A306" s="18"/>
      <c r="C306" s="20" t="s">
        <v>170</v>
      </c>
      <c r="D306" s="19">
        <f>53471000/1000</f>
        <v>53471</v>
      </c>
      <c r="E306" s="19">
        <f>[1]TOBEPAID!E232/1000</f>
        <v>53471</v>
      </c>
      <c r="F306" s="19">
        <f>[1]TOBEPAID!F232/1000</f>
        <v>0</v>
      </c>
      <c r="G306" s="19">
        <f>[1]TOBEPAID!G232/1000</f>
        <v>0</v>
      </c>
      <c r="H306" s="19">
        <f>53471000/1000</f>
        <v>53471</v>
      </c>
      <c r="I306" s="19">
        <f>[1]TOBEPAID!I232/1000</f>
        <v>0</v>
      </c>
      <c r="J306" s="19">
        <f>[1]TOBEPAID!J232/1000</f>
        <v>0</v>
      </c>
      <c r="K306" s="19">
        <f>[1]TOBEPAID!K232/1000</f>
        <v>0</v>
      </c>
      <c r="L306" s="19">
        <f>[1]TOBEPAID!L232/1000</f>
        <v>0</v>
      </c>
      <c r="M306" s="19">
        <f>[1]TOBEPAID!M232/1000</f>
        <v>0</v>
      </c>
      <c r="N306" s="19">
        <f>[1]TOBEPAID!N232/1000</f>
        <v>53471</v>
      </c>
      <c r="O306" s="19">
        <f>[1]TOBEPAID!O232/1000</f>
        <v>0</v>
      </c>
      <c r="P306" s="19">
        <f>[1]TOBEPAID!P232/1000</f>
        <v>0</v>
      </c>
      <c r="Q306" s="19">
        <f>[1]TOBEPAID!Q232/1000</f>
        <v>0</v>
      </c>
      <c r="R306" s="19">
        <v>0</v>
      </c>
      <c r="S306" s="19">
        <f>[1]TOBEPAID!S232/1000</f>
        <v>0</v>
      </c>
      <c r="T306" s="19">
        <f>[1]TOBEPAID!T232/1000</f>
        <v>0</v>
      </c>
      <c r="U306" s="19">
        <f>[1]TOBEPAID!U232/1000</f>
        <v>0</v>
      </c>
      <c r="V306" s="19">
        <f>[1]TOBEPAID!V232/1000</f>
        <v>0</v>
      </c>
      <c r="W306" s="19">
        <f>[1]TOBEPAID!W232/1000</f>
        <v>0</v>
      </c>
      <c r="X306" s="19">
        <f>[1]TOBEPAID!X232/1000</f>
        <v>0</v>
      </c>
      <c r="Y306" s="19">
        <f t="shared" si="52"/>
        <v>53471</v>
      </c>
      <c r="Z306" s="19">
        <f t="shared" si="51"/>
        <v>0</v>
      </c>
      <c r="AA306" s="19">
        <f>[1]TOBEPAID!AA232/1000</f>
        <v>53471</v>
      </c>
      <c r="AB306" s="19">
        <f>[1]TOBEPAID!AB232/1000</f>
        <v>0</v>
      </c>
      <c r="AC306" s="19"/>
      <c r="AD306" s="19"/>
    </row>
    <row r="307" spans="1:30" x14ac:dyDescent="0.2">
      <c r="A307" s="18"/>
      <c r="C307" s="54" t="s">
        <v>167</v>
      </c>
      <c r="D307" s="19">
        <f>10740906/1000</f>
        <v>10740.906000000001</v>
      </c>
      <c r="E307" s="19">
        <f>[1]TOBEPAID!E233/1000</f>
        <v>10740.90675</v>
      </c>
      <c r="F307" s="19">
        <f>[1]TOBEPAID!F233/1000</f>
        <v>0</v>
      </c>
      <c r="G307" s="19">
        <f>[1]TOBEPAID!G233/1000</f>
        <v>0</v>
      </c>
      <c r="H307" s="19">
        <f>10740906/1000</f>
        <v>10740.906000000001</v>
      </c>
      <c r="I307" s="19">
        <f>[1]TOBEPAID!I233/1000</f>
        <v>0</v>
      </c>
      <c r="J307" s="19">
        <f>[1]TOBEPAID!J233/1000</f>
        <v>0</v>
      </c>
      <c r="K307" s="19">
        <f>[1]TOBEPAID!K233/1000</f>
        <v>0</v>
      </c>
      <c r="L307" s="19">
        <f>[1]TOBEPAID!L233/1000</f>
        <v>0</v>
      </c>
      <c r="M307" s="19">
        <f>[1]TOBEPAID!M233/1000</f>
        <v>0</v>
      </c>
      <c r="N307" s="19">
        <f>[1]TOBEPAID!N233/1000</f>
        <v>10740.90675</v>
      </c>
      <c r="O307" s="19">
        <f>[1]TOBEPAID!O233/1000</f>
        <v>0</v>
      </c>
      <c r="P307" s="19">
        <f>[1]TOBEPAID!P233/1000</f>
        <v>0</v>
      </c>
      <c r="Q307" s="19">
        <f>[1]TOBEPAID!Q233/1000</f>
        <v>0</v>
      </c>
      <c r="R307" s="19">
        <v>0</v>
      </c>
      <c r="S307" s="19">
        <f>[1]TOBEPAID!S233/1000</f>
        <v>0</v>
      </c>
      <c r="T307" s="19">
        <f>[1]TOBEPAID!T233/1000</f>
        <v>0</v>
      </c>
      <c r="U307" s="19">
        <f>[1]TOBEPAID!U233/1000</f>
        <v>0</v>
      </c>
      <c r="V307" s="19">
        <f>[1]TOBEPAID!V233/1000</f>
        <v>0</v>
      </c>
      <c r="W307" s="19">
        <f>[1]TOBEPAID!W233/1000</f>
        <v>0</v>
      </c>
      <c r="X307" s="19">
        <f>[1]TOBEPAID!X233/1000</f>
        <v>0</v>
      </c>
      <c r="Y307" s="19">
        <f t="shared" si="52"/>
        <v>10740.906000000001</v>
      </c>
      <c r="Z307" s="19">
        <f t="shared" si="51"/>
        <v>0</v>
      </c>
      <c r="AA307" s="19">
        <f>[1]TOBEPAID!AA233/1000</f>
        <v>10740.90675</v>
      </c>
      <c r="AB307" s="19">
        <f>[1]TOBEPAID!AB233/1000</f>
        <v>0</v>
      </c>
      <c r="AC307" s="19"/>
      <c r="AD307" s="19"/>
    </row>
    <row r="308" spans="1:30" x14ac:dyDescent="0.2">
      <c r="A308" s="18"/>
      <c r="C308" s="17" t="s">
        <v>96</v>
      </c>
      <c r="D308" s="19">
        <f>7001815/1000</f>
        <v>7001.8149999999996</v>
      </c>
      <c r="E308" s="19">
        <f>[1]TOBEPAID!E234/1000</f>
        <v>0</v>
      </c>
      <c r="F308" s="19">
        <f>[1]TOBEPAID!F234/1000</f>
        <v>0</v>
      </c>
      <c r="G308" s="19">
        <f>[1]TOBEPAID!G234/1000</f>
        <v>0</v>
      </c>
      <c r="H308" s="19">
        <v>0</v>
      </c>
      <c r="I308" s="19">
        <f>[1]TOBEPAID!I234/1000</f>
        <v>0</v>
      </c>
      <c r="J308" s="19">
        <f>[1]TOBEPAID!J234/1000</f>
        <v>0</v>
      </c>
      <c r="K308" s="19">
        <f>[1]TOBEPAID!K234/1000</f>
        <v>0</v>
      </c>
      <c r="L308" s="19">
        <f>[1]TOBEPAID!L234/1000</f>
        <v>0</v>
      </c>
      <c r="M308" s="19">
        <f>[1]TOBEPAID!M234/1000</f>
        <v>0</v>
      </c>
      <c r="N308" s="19">
        <f>[1]TOBEPAID!N234/1000</f>
        <v>0</v>
      </c>
      <c r="O308" s="19">
        <f>[1]TOBEPAID!O234/1000</f>
        <v>7001.9344499999997</v>
      </c>
      <c r="P308" s="19">
        <f>[1]TOBEPAID!P234/1000</f>
        <v>0</v>
      </c>
      <c r="Q308" s="19">
        <f>[1]TOBEPAID!Q234/1000</f>
        <v>0</v>
      </c>
      <c r="R308" s="19">
        <f>8999462/1000</f>
        <v>8999.4619999999995</v>
      </c>
      <c r="S308" s="19">
        <f>[1]TOBEPAID!S234/1000</f>
        <v>0</v>
      </c>
      <c r="T308" s="19">
        <f>[1]TOBEPAID!T234/1000</f>
        <v>0</v>
      </c>
      <c r="U308" s="19">
        <f>[1]TOBEPAID!U234/1000</f>
        <v>0</v>
      </c>
      <c r="V308" s="19">
        <f>[1]TOBEPAID!V234/1000</f>
        <v>0</v>
      </c>
      <c r="W308" s="19">
        <f>[1]TOBEPAID!W234/1000</f>
        <v>0</v>
      </c>
      <c r="X308" s="19">
        <f>[1]TOBEPAID!X234/1000</f>
        <v>7001.9344499999997</v>
      </c>
      <c r="Y308" s="19">
        <f t="shared" si="52"/>
        <v>8999.4619999999995</v>
      </c>
      <c r="Z308" s="19">
        <f t="shared" si="51"/>
        <v>-1997.6469999999999</v>
      </c>
      <c r="AA308" s="19">
        <f>[1]TOBEPAID!AA234/1000</f>
        <v>7001.9344499999997</v>
      </c>
      <c r="AB308" s="19">
        <f>[1]TOBEPAID!AB234/1000</f>
        <v>7770.3765599999997</v>
      </c>
      <c r="AC308" s="19" t="s">
        <v>116</v>
      </c>
      <c r="AD308" s="19"/>
    </row>
    <row r="309" spans="1:30" x14ac:dyDescent="0.2">
      <c r="A309" s="18"/>
      <c r="C309" s="17" t="s">
        <v>97</v>
      </c>
      <c r="D309" s="19">
        <f>10700263/1000</f>
        <v>10700.263000000001</v>
      </c>
      <c r="E309" s="19">
        <f>[1]TOBEPAID!E235/1000</f>
        <v>0</v>
      </c>
      <c r="F309" s="19">
        <f>[1]TOBEPAID!F235/1000</f>
        <v>0</v>
      </c>
      <c r="G309" s="19">
        <f>[1]TOBEPAID!G235/1000</f>
        <v>0</v>
      </c>
      <c r="H309" s="19">
        <v>0</v>
      </c>
      <c r="I309" s="19">
        <f>[1]TOBEPAID!I235/1000</f>
        <v>0</v>
      </c>
      <c r="J309" s="19">
        <f>[1]TOBEPAID!J235/1000</f>
        <v>0</v>
      </c>
      <c r="K309" s="19">
        <f>[1]TOBEPAID!K235/1000</f>
        <v>0</v>
      </c>
      <c r="L309" s="19">
        <f>[1]TOBEPAID!L235/1000</f>
        <v>0</v>
      </c>
      <c r="M309" s="19">
        <f>[1]TOBEPAID!M235/1000</f>
        <v>0</v>
      </c>
      <c r="N309" s="19">
        <f>[1]TOBEPAID!N235/1000</f>
        <v>0</v>
      </c>
      <c r="O309" s="19">
        <f>[1]TOBEPAID!O235/1000</f>
        <v>10700.26303</v>
      </c>
      <c r="P309" s="19">
        <f>[1]TOBEPAID!P235/1000</f>
        <v>0</v>
      </c>
      <c r="Q309" s="19">
        <f>[1]TOBEPAID!Q235/1000</f>
        <v>0</v>
      </c>
      <c r="R309" s="19">
        <f>10700263/1000</f>
        <v>10700.263000000001</v>
      </c>
      <c r="S309" s="19">
        <f>[1]TOBEPAID!S235/1000</f>
        <v>0</v>
      </c>
      <c r="T309" s="19">
        <f>[1]TOBEPAID!T235/1000</f>
        <v>0</v>
      </c>
      <c r="U309" s="19">
        <f>[1]TOBEPAID!U235/1000</f>
        <v>0</v>
      </c>
      <c r="V309" s="19">
        <f>[1]TOBEPAID!V235/1000</f>
        <v>0</v>
      </c>
      <c r="W309" s="19">
        <f>[1]TOBEPAID!W235/1000</f>
        <v>0</v>
      </c>
      <c r="X309" s="19">
        <f>[1]TOBEPAID!X235/1000</f>
        <v>10700.26303</v>
      </c>
      <c r="Y309" s="19">
        <f t="shared" si="52"/>
        <v>10700.263000000001</v>
      </c>
      <c r="Z309" s="19">
        <f t="shared" si="51"/>
        <v>0</v>
      </c>
      <c r="AA309" s="19">
        <f>[1]TOBEPAID!AA235/1000</f>
        <v>10700.26303</v>
      </c>
      <c r="AB309" s="19">
        <f>[1]TOBEPAID!AB235/1000</f>
        <v>0</v>
      </c>
      <c r="AC309" s="19"/>
      <c r="AD309" s="19"/>
    </row>
    <row r="310" spans="1:30" x14ac:dyDescent="0.2">
      <c r="A310" s="18"/>
      <c r="D310" s="21" t="s">
        <v>57</v>
      </c>
      <c r="E310" s="21" t="s">
        <v>57</v>
      </c>
      <c r="F310" s="21" t="s">
        <v>57</v>
      </c>
      <c r="G310" s="21"/>
      <c r="H310" s="21" t="s">
        <v>57</v>
      </c>
      <c r="I310" s="21" t="s">
        <v>57</v>
      </c>
      <c r="J310" s="21" t="s">
        <v>57</v>
      </c>
      <c r="K310" s="21" t="s">
        <v>57</v>
      </c>
      <c r="L310" s="21" t="s">
        <v>57</v>
      </c>
      <c r="M310" s="21"/>
      <c r="N310" s="21" t="s">
        <v>57</v>
      </c>
      <c r="O310" s="21" t="s">
        <v>57</v>
      </c>
      <c r="P310" s="21" t="s">
        <v>57</v>
      </c>
      <c r="Q310" s="21"/>
      <c r="R310" s="21" t="s">
        <v>57</v>
      </c>
      <c r="S310" s="21" t="s">
        <v>57</v>
      </c>
      <c r="T310" s="21" t="s">
        <v>57</v>
      </c>
      <c r="U310" s="21" t="s">
        <v>57</v>
      </c>
      <c r="V310" s="21" t="s">
        <v>57</v>
      </c>
      <c r="W310" s="21"/>
      <c r="X310" s="21" t="s">
        <v>57</v>
      </c>
      <c r="Y310" s="21" t="s">
        <v>57</v>
      </c>
      <c r="Z310" s="21" t="s">
        <v>57</v>
      </c>
      <c r="AA310" s="21" t="s">
        <v>57</v>
      </c>
      <c r="AB310" s="21" t="s">
        <v>57</v>
      </c>
      <c r="AC310" s="21"/>
      <c r="AD310" s="21"/>
    </row>
    <row r="311" spans="1:30" x14ac:dyDescent="0.2">
      <c r="A311" s="18"/>
      <c r="D311" s="19">
        <f>SUM(D300:D309)</f>
        <v>318865.50900000002</v>
      </c>
      <c r="E311" s="19">
        <f>SUM(E300:E309)</f>
        <v>72656.023350000003</v>
      </c>
      <c r="F311" s="19">
        <f>SUM(F300:F309)</f>
        <v>0</v>
      </c>
      <c r="G311" s="19"/>
      <c r="H311" s="19">
        <f>SUM(H300:H309)</f>
        <v>158250.56499999997</v>
      </c>
      <c r="I311" s="19">
        <f>SUM(I300:I309)</f>
        <v>0</v>
      </c>
      <c r="J311" s="19">
        <f>SUM(J300:J309)</f>
        <v>0</v>
      </c>
      <c r="K311" s="19">
        <f>SUM(K300:K309)</f>
        <v>0</v>
      </c>
      <c r="L311" s="19">
        <f>SUM(L300:L309)</f>
        <v>0</v>
      </c>
      <c r="M311" s="19"/>
      <c r="N311" s="19">
        <f>SUM(N300:N309)</f>
        <v>72656.023350000003</v>
      </c>
      <c r="O311" s="19">
        <f>SUM(O300:O309)</f>
        <v>17702.197479999999</v>
      </c>
      <c r="P311" s="19">
        <f>SUM(P300:P309)</f>
        <v>0</v>
      </c>
      <c r="Q311" s="19"/>
      <c r="R311" s="19">
        <f>SUM(R300:R309)</f>
        <v>19699.724999999999</v>
      </c>
      <c r="S311" s="19">
        <f>SUM(S300:S309)</f>
        <v>0</v>
      </c>
      <c r="T311" s="19">
        <f>SUM(T300:T309)</f>
        <v>0</v>
      </c>
      <c r="U311" s="19">
        <f>SUM(U300:U309)</f>
        <v>0</v>
      </c>
      <c r="V311" s="19">
        <f>SUM(V300:V309)</f>
        <v>0</v>
      </c>
      <c r="W311" s="19"/>
      <c r="X311" s="19">
        <f>SUM(X300:X309)</f>
        <v>17702.197479999999</v>
      </c>
      <c r="Y311" s="19">
        <f>SUM(Y300:Y309)</f>
        <v>177950.28999999998</v>
      </c>
      <c r="Z311" s="19">
        <f>SUM(Z300:Z309)</f>
        <v>140915.21900000001</v>
      </c>
      <c r="AA311" s="19">
        <f>SUM(AA300:AA309)</f>
        <v>90358.220830000006</v>
      </c>
      <c r="AB311" s="19">
        <f>SUM(AB300:AB309)</f>
        <v>25982.290980000002</v>
      </c>
      <c r="AC311" s="19"/>
      <c r="AD311" s="19"/>
    </row>
    <row r="312" spans="1:30" x14ac:dyDescent="0.2">
      <c r="A312" s="18"/>
      <c r="B312" s="9"/>
      <c r="D312" s="21" t="s">
        <v>57</v>
      </c>
      <c r="E312" s="21" t="s">
        <v>57</v>
      </c>
      <c r="F312" s="21" t="s">
        <v>57</v>
      </c>
      <c r="G312" s="21"/>
      <c r="H312" s="21" t="s">
        <v>57</v>
      </c>
      <c r="I312" s="21" t="s">
        <v>57</v>
      </c>
      <c r="J312" s="21" t="s">
        <v>57</v>
      </c>
      <c r="K312" s="21" t="s">
        <v>57</v>
      </c>
      <c r="L312" s="21" t="s">
        <v>57</v>
      </c>
      <c r="M312" s="21"/>
      <c r="N312" s="21" t="s">
        <v>57</v>
      </c>
      <c r="O312" s="21" t="s">
        <v>57</v>
      </c>
      <c r="P312" s="21" t="s">
        <v>57</v>
      </c>
      <c r="Q312" s="21"/>
      <c r="R312" s="21" t="s">
        <v>57</v>
      </c>
      <c r="S312" s="21" t="s">
        <v>57</v>
      </c>
      <c r="T312" s="21" t="s">
        <v>57</v>
      </c>
      <c r="U312" s="21" t="s">
        <v>57</v>
      </c>
      <c r="V312" s="21" t="s">
        <v>57</v>
      </c>
      <c r="W312" s="21"/>
      <c r="X312" s="21" t="s">
        <v>57</v>
      </c>
      <c r="Y312" s="21" t="s">
        <v>57</v>
      </c>
      <c r="Z312" s="21" t="s">
        <v>57</v>
      </c>
      <c r="AA312" s="21" t="s">
        <v>57</v>
      </c>
      <c r="AB312" s="21" t="s">
        <v>57</v>
      </c>
      <c r="AC312" s="21"/>
      <c r="AD312" s="21"/>
    </row>
    <row r="313" spans="1:30" ht="15.75" thickBot="1" x14ac:dyDescent="0.25">
      <c r="A313" s="18"/>
      <c r="B313" s="9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S313" s="21"/>
      <c r="T313" s="21"/>
      <c r="U313" s="21"/>
      <c r="V313" s="21"/>
      <c r="W313" s="21"/>
      <c r="X313" s="21"/>
      <c r="Y313" s="48" t="s">
        <v>171</v>
      </c>
      <c r="Z313" s="48"/>
      <c r="AA313" s="21"/>
      <c r="AB313" s="21"/>
      <c r="AC313" s="21"/>
      <c r="AD313" s="21"/>
    </row>
    <row r="314" spans="1:30" ht="15.75" thickTop="1" x14ac:dyDescent="0.2">
      <c r="A314" s="18"/>
      <c r="B314" s="9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1:30" x14ac:dyDescent="0.2">
      <c r="A315" s="18"/>
      <c r="B315" s="9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1:30" x14ac:dyDescent="0.2">
      <c r="A316" s="18">
        <v>22</v>
      </c>
      <c r="B316" s="17" t="s">
        <v>172</v>
      </c>
      <c r="C316" s="17" t="s">
        <v>51</v>
      </c>
      <c r="D316" s="19">
        <f>25472440/1000</f>
        <v>25472.44</v>
      </c>
      <c r="E316" s="19">
        <f>[1]TOBEPAID!E240/1000</f>
        <v>9500</v>
      </c>
      <c r="F316" s="19">
        <f>[1]TOBEPAID!F240/1000</f>
        <v>0</v>
      </c>
      <c r="G316" s="19">
        <f>[1]TOBEPAID!G240/1000</f>
        <v>0</v>
      </c>
      <c r="H316" s="19">
        <f>19900000/1000</f>
        <v>19900</v>
      </c>
      <c r="I316" s="19">
        <f>[1]TOBEPAID!I240/1000</f>
        <v>0</v>
      </c>
      <c r="J316" s="19">
        <f>[1]TOBEPAID!J240/1000</f>
        <v>0</v>
      </c>
      <c r="K316" s="19">
        <f>[1]TOBEPAID!K240/1000</f>
        <v>0</v>
      </c>
      <c r="L316" s="19">
        <f>[1]TOBEPAID!L240/1000</f>
        <v>0</v>
      </c>
      <c r="M316" s="19">
        <f>[1]TOBEPAID!M240/1000</f>
        <v>0</v>
      </c>
      <c r="N316" s="19">
        <f>[1]TOBEPAID!N240/1000</f>
        <v>9500</v>
      </c>
      <c r="O316" s="19">
        <f>[1]TOBEPAID!O240/1000</f>
        <v>3310.5217000000002</v>
      </c>
      <c r="P316" s="19">
        <f>[1]TOBEPAID!P240/1000</f>
        <v>0</v>
      </c>
      <c r="Q316" s="19">
        <f>[1]TOBEPAID!Q240/1000</f>
        <v>0</v>
      </c>
      <c r="R316" s="19">
        <f>5567020/1000</f>
        <v>5567.02</v>
      </c>
      <c r="S316" s="19">
        <f>[1]TOBEPAID!S240/1000</f>
        <v>0</v>
      </c>
      <c r="T316" s="19">
        <f>[1]TOBEPAID!T240/1000</f>
        <v>0</v>
      </c>
      <c r="U316" s="19">
        <f>[1]TOBEPAID!U240/1000</f>
        <v>0</v>
      </c>
      <c r="V316" s="19">
        <f>[1]TOBEPAID!V240/1000</f>
        <v>0</v>
      </c>
      <c r="W316" s="19">
        <f>[1]TOBEPAID!W240/1000</f>
        <v>0</v>
      </c>
      <c r="X316" s="19">
        <f>[1]TOBEPAID!X240/1000</f>
        <v>3310.5217000000002</v>
      </c>
      <c r="Y316" s="19">
        <f>+H316+R316</f>
        <v>25467.02</v>
      </c>
      <c r="Z316" s="19">
        <f>+D316-Y316</f>
        <v>5.4199999999982538</v>
      </c>
      <c r="AA316" s="19">
        <f>[1]TOBEPAID!AA240/1000</f>
        <v>12810.521699999999</v>
      </c>
      <c r="AB316" s="19">
        <f>[1]TOBEPAID!AB240/1000</f>
        <v>9287.8874400000022</v>
      </c>
      <c r="AC316" s="19"/>
      <c r="AD316" s="19"/>
    </row>
    <row r="317" spans="1:30" x14ac:dyDescent="0.2">
      <c r="C317" s="3" t="s">
        <v>53</v>
      </c>
      <c r="D317" s="19">
        <f>4998998/1000</f>
        <v>4998.9979999999996</v>
      </c>
      <c r="E317" s="19">
        <f>[1]TOBEPAID!E241/1000</f>
        <v>4998.9979999999996</v>
      </c>
      <c r="F317" s="19">
        <f>[1]TOBEPAID!F241/1000</f>
        <v>0</v>
      </c>
      <c r="G317" s="19">
        <f>[1]TOBEPAID!G241/1000</f>
        <v>0</v>
      </c>
      <c r="H317" s="19">
        <f>[1]TOBEPAID!H241/1000</f>
        <v>4998.9979999999996</v>
      </c>
      <c r="I317" s="19">
        <f>[1]TOBEPAID!I241/1000</f>
        <v>0</v>
      </c>
      <c r="J317" s="19">
        <f>[1]TOBEPAID!J241/1000</f>
        <v>0</v>
      </c>
      <c r="K317" s="19">
        <f>[1]TOBEPAID!K241/1000</f>
        <v>0</v>
      </c>
      <c r="L317" s="19">
        <f>[1]TOBEPAID!L241/1000</f>
        <v>0</v>
      </c>
      <c r="M317" s="19">
        <f>[1]TOBEPAID!M241/1000</f>
        <v>0</v>
      </c>
      <c r="N317" s="19">
        <f>[1]TOBEPAID!N241/1000</f>
        <v>4998.9979999999996</v>
      </c>
      <c r="O317" s="19">
        <f>[1]TOBEPAID!O241/1000</f>
        <v>0</v>
      </c>
      <c r="P317" s="19">
        <f>[1]TOBEPAID!P241/1000</f>
        <v>0</v>
      </c>
      <c r="Q317" s="19">
        <f>[1]TOBEPAID!Q241/1000</f>
        <v>0</v>
      </c>
      <c r="R317" s="19">
        <v>0</v>
      </c>
      <c r="S317" s="19">
        <f>[1]TOBEPAID!S241/1000</f>
        <v>0</v>
      </c>
      <c r="T317" s="19">
        <f>[1]TOBEPAID!T241/1000</f>
        <v>0</v>
      </c>
      <c r="U317" s="19">
        <f>[1]TOBEPAID!U241/1000</f>
        <v>0</v>
      </c>
      <c r="V317" s="19">
        <f>[1]TOBEPAID!V241/1000</f>
        <v>0</v>
      </c>
      <c r="W317" s="19">
        <f>[1]TOBEPAID!W241/1000</f>
        <v>0</v>
      </c>
      <c r="X317" s="19">
        <f>[1]TOBEPAID!X241/1000</f>
        <v>0</v>
      </c>
      <c r="Y317" s="19">
        <f t="shared" ref="Y317:Y324" si="53">+H317+R317</f>
        <v>4998.9979999999996</v>
      </c>
      <c r="Z317" s="19">
        <f>+D317-Y317</f>
        <v>0</v>
      </c>
      <c r="AA317" s="19">
        <f>[1]TOBEPAID!AA241/1000</f>
        <v>4998.9979999999996</v>
      </c>
      <c r="AB317" s="19">
        <f>[1]TOBEPAID!AB241/1000</f>
        <v>0</v>
      </c>
      <c r="AC317" s="19"/>
      <c r="AD317" s="19"/>
    </row>
    <row r="318" spans="1:30" x14ac:dyDescent="0.2">
      <c r="C318" s="3" t="s">
        <v>63</v>
      </c>
      <c r="D318" s="19">
        <f>12000000/1000</f>
        <v>12000</v>
      </c>
      <c r="E318" s="19"/>
      <c r="F318" s="19"/>
      <c r="G318" s="19"/>
      <c r="H318" s="19">
        <f>12000000/1000</f>
        <v>12000</v>
      </c>
      <c r="I318" s="19"/>
      <c r="J318" s="19"/>
      <c r="K318" s="19"/>
      <c r="L318" s="19"/>
      <c r="M318" s="19"/>
      <c r="N318" s="19"/>
      <c r="O318" s="19"/>
      <c r="P318" s="19"/>
      <c r="Q318" s="19"/>
      <c r="R318" s="19">
        <v>0</v>
      </c>
      <c r="S318" s="19"/>
      <c r="T318" s="19"/>
      <c r="U318" s="19"/>
      <c r="V318" s="19"/>
      <c r="W318" s="19"/>
      <c r="X318" s="19"/>
      <c r="Y318" s="19">
        <f t="shared" si="53"/>
        <v>12000</v>
      </c>
      <c r="Z318" s="19">
        <f>+D318-Y318</f>
        <v>0</v>
      </c>
      <c r="AA318" s="19"/>
      <c r="AB318" s="19"/>
      <c r="AC318" s="19"/>
      <c r="AD318" s="19"/>
    </row>
    <row r="319" spans="1:30" x14ac:dyDescent="0.2">
      <c r="C319" s="3" t="s">
        <v>67</v>
      </c>
      <c r="D319" s="19">
        <f>255655117/1000</f>
        <v>255655.117</v>
      </c>
      <c r="E319" s="19"/>
      <c r="F319" s="19"/>
      <c r="G319" s="19"/>
      <c r="H319" s="19">
        <f>255655117/1000</f>
        <v>255655.117</v>
      </c>
      <c r="I319" s="19"/>
      <c r="J319" s="19"/>
      <c r="K319" s="19"/>
      <c r="L319" s="19"/>
      <c r="M319" s="19"/>
      <c r="N319" s="19"/>
      <c r="O319" s="19"/>
      <c r="P319" s="19"/>
      <c r="Q319" s="19"/>
      <c r="R319" s="19">
        <v>0</v>
      </c>
      <c r="S319" s="19"/>
      <c r="T319" s="19"/>
      <c r="U319" s="19"/>
      <c r="V319" s="19"/>
      <c r="W319" s="19"/>
      <c r="X319" s="19"/>
      <c r="Y319" s="19">
        <f>+H319+R319</f>
        <v>255655.117</v>
      </c>
      <c r="Z319" s="19">
        <f>+D319-Y319</f>
        <v>0</v>
      </c>
      <c r="AA319" s="19"/>
      <c r="AB319" s="19"/>
      <c r="AC319" s="19"/>
      <c r="AD319" s="19"/>
    </row>
    <row r="320" spans="1:30" x14ac:dyDescent="0.2">
      <c r="A320" s="18"/>
      <c r="C320" s="20" t="s">
        <v>52</v>
      </c>
      <c r="D320" s="19">
        <f>12905293/1000</f>
        <v>12905.293</v>
      </c>
      <c r="E320" s="19">
        <f>[1]TOBEPAID!E242/1000</f>
        <v>12905.293800000001</v>
      </c>
      <c r="F320" s="19">
        <f>[1]TOBEPAID!F242/1000</f>
        <v>0</v>
      </c>
      <c r="G320" s="19">
        <f>[1]TOBEPAID!G242/1000</f>
        <v>0</v>
      </c>
      <c r="H320" s="19">
        <f>[1]TOBEPAID!H242/1000</f>
        <v>12905.293800000001</v>
      </c>
      <c r="I320" s="19">
        <f>[1]TOBEPAID!I242/1000</f>
        <v>0</v>
      </c>
      <c r="J320" s="19">
        <f>[1]TOBEPAID!J242/1000</f>
        <v>0</v>
      </c>
      <c r="K320" s="19">
        <f>[1]TOBEPAID!K242/1000</f>
        <v>0</v>
      </c>
      <c r="L320" s="19">
        <f>[1]TOBEPAID!L242/1000</f>
        <v>0</v>
      </c>
      <c r="M320" s="19">
        <f>[1]TOBEPAID!M242/1000</f>
        <v>0</v>
      </c>
      <c r="N320" s="19">
        <f>[1]TOBEPAID!N242/1000</f>
        <v>12905.293800000001</v>
      </c>
      <c r="O320" s="19">
        <f>[1]TOBEPAID!O242/1000</f>
        <v>0</v>
      </c>
      <c r="P320" s="19">
        <f>[1]TOBEPAID!P242/1000</f>
        <v>0</v>
      </c>
      <c r="Q320" s="19">
        <f>[1]TOBEPAID!Q242/1000</f>
        <v>0</v>
      </c>
      <c r="R320" s="19">
        <v>0</v>
      </c>
      <c r="S320" s="19">
        <f>[1]TOBEPAID!S242/1000</f>
        <v>0</v>
      </c>
      <c r="T320" s="19">
        <f>[1]TOBEPAID!T242/1000</f>
        <v>0</v>
      </c>
      <c r="U320" s="19">
        <f>[1]TOBEPAID!U242/1000</f>
        <v>0</v>
      </c>
      <c r="V320" s="19">
        <f>[1]TOBEPAID!V242/1000</f>
        <v>0</v>
      </c>
      <c r="W320" s="19">
        <f>[1]TOBEPAID!W242/1000</f>
        <v>0</v>
      </c>
      <c r="X320" s="19">
        <f>[1]TOBEPAID!X242/1000</f>
        <v>0</v>
      </c>
      <c r="Y320" s="19">
        <f t="shared" si="53"/>
        <v>12905.293800000001</v>
      </c>
      <c r="Z320" s="19">
        <f>+Y320-D320</f>
        <v>8.0000000161817297E-4</v>
      </c>
      <c r="AA320" s="19">
        <f>[1]TOBEPAID!AA242/1000</f>
        <v>12905.293800000001</v>
      </c>
      <c r="AB320" s="19">
        <f>[1]TOBEPAID!AB242/1000</f>
        <v>0</v>
      </c>
      <c r="AC320" s="19"/>
      <c r="AD320" s="19"/>
    </row>
    <row r="321" spans="1:30" x14ac:dyDescent="0.2">
      <c r="A321" s="18"/>
      <c r="C321" s="20" t="s">
        <v>170</v>
      </c>
      <c r="D321" s="19">
        <f>65638000/1000</f>
        <v>65638</v>
      </c>
      <c r="E321" s="19">
        <f>[1]TOBEPAID!E243/1000</f>
        <v>65638</v>
      </c>
      <c r="F321" s="19">
        <f>[1]TOBEPAID!F243/1000</f>
        <v>0</v>
      </c>
      <c r="G321" s="19">
        <f>[1]TOBEPAID!G243/1000</f>
        <v>0</v>
      </c>
      <c r="H321" s="19">
        <f>[1]TOBEPAID!H243/1000</f>
        <v>65638</v>
      </c>
      <c r="I321" s="19">
        <f>[1]TOBEPAID!I243/1000</f>
        <v>0</v>
      </c>
      <c r="J321" s="19">
        <f>[1]TOBEPAID!J243/1000</f>
        <v>0</v>
      </c>
      <c r="K321" s="19">
        <f>[1]TOBEPAID!K243/1000</f>
        <v>0</v>
      </c>
      <c r="L321" s="19">
        <f>[1]TOBEPAID!L243/1000</f>
        <v>0</v>
      </c>
      <c r="M321" s="19">
        <f>[1]TOBEPAID!M243/1000</f>
        <v>0</v>
      </c>
      <c r="N321" s="19">
        <f>[1]TOBEPAID!N243/1000</f>
        <v>65638</v>
      </c>
      <c r="O321" s="19">
        <f>[1]TOBEPAID!O243/1000</f>
        <v>0</v>
      </c>
      <c r="P321" s="19">
        <f>[1]TOBEPAID!P243/1000</f>
        <v>0</v>
      </c>
      <c r="Q321" s="19">
        <f>[1]TOBEPAID!Q243/1000</f>
        <v>0</v>
      </c>
      <c r="R321" s="19">
        <v>0</v>
      </c>
      <c r="S321" s="19">
        <f>[1]TOBEPAID!S243/1000</f>
        <v>0</v>
      </c>
      <c r="T321" s="19">
        <f>[1]TOBEPAID!T243/1000</f>
        <v>0</v>
      </c>
      <c r="U321" s="19">
        <f>[1]TOBEPAID!U243/1000</f>
        <v>0</v>
      </c>
      <c r="V321" s="19">
        <f>[1]TOBEPAID!V243/1000</f>
        <v>0</v>
      </c>
      <c r="W321" s="19">
        <f>[1]TOBEPAID!W243/1000</f>
        <v>0</v>
      </c>
      <c r="X321" s="19">
        <f>[1]TOBEPAID!X243/1000</f>
        <v>0</v>
      </c>
      <c r="Y321" s="19">
        <f t="shared" si="53"/>
        <v>65638</v>
      </c>
      <c r="Z321" s="19">
        <f>+D321-Y321</f>
        <v>0</v>
      </c>
      <c r="AA321" s="19">
        <f>[1]TOBEPAID!AA243/1000</f>
        <v>65638</v>
      </c>
      <c r="AB321" s="19">
        <f>[1]TOBEPAID!AB243/1000</f>
        <v>0</v>
      </c>
      <c r="AC321" s="19"/>
      <c r="AD321" s="19"/>
    </row>
    <row r="322" spans="1:30" x14ac:dyDescent="0.2">
      <c r="A322" s="18"/>
      <c r="C322" s="54" t="s">
        <v>167</v>
      </c>
      <c r="D322" s="19">
        <f>2082100/1000</f>
        <v>2082.1</v>
      </c>
      <c r="E322" s="19">
        <f>[1]TOBEPAID!E244/1000</f>
        <v>2082.1004400000002</v>
      </c>
      <c r="F322" s="19">
        <f>[1]TOBEPAID!F244/1000</f>
        <v>0</v>
      </c>
      <c r="G322" s="19">
        <f>[1]TOBEPAID!G244/1000</f>
        <v>0</v>
      </c>
      <c r="H322" s="19">
        <f>[1]TOBEPAID!H244/1000</f>
        <v>2082.1004400000002</v>
      </c>
      <c r="I322" s="19">
        <f>[1]TOBEPAID!I244/1000</f>
        <v>0</v>
      </c>
      <c r="J322" s="19">
        <f>[1]TOBEPAID!J244/1000</f>
        <v>0</v>
      </c>
      <c r="K322" s="19">
        <f>[1]TOBEPAID!K244/1000</f>
        <v>0</v>
      </c>
      <c r="L322" s="19">
        <f>[1]TOBEPAID!L244/1000</f>
        <v>0</v>
      </c>
      <c r="M322" s="19">
        <f>[1]TOBEPAID!M244/1000</f>
        <v>0</v>
      </c>
      <c r="N322" s="19">
        <f>[1]TOBEPAID!N244/1000</f>
        <v>2082.1004400000002</v>
      </c>
      <c r="O322" s="19">
        <f>[1]TOBEPAID!O244/1000</f>
        <v>0</v>
      </c>
      <c r="P322" s="19">
        <f>[1]TOBEPAID!P244/1000</f>
        <v>0</v>
      </c>
      <c r="Q322" s="19">
        <f>[1]TOBEPAID!Q244/1000</f>
        <v>0</v>
      </c>
      <c r="R322" s="19">
        <v>0</v>
      </c>
      <c r="S322" s="19">
        <f>[1]TOBEPAID!S244/1000</f>
        <v>0</v>
      </c>
      <c r="T322" s="19">
        <f>[1]TOBEPAID!T244/1000</f>
        <v>0</v>
      </c>
      <c r="U322" s="19">
        <f>[1]TOBEPAID!U244/1000</f>
        <v>0</v>
      </c>
      <c r="V322" s="19">
        <f>[1]TOBEPAID!V244/1000</f>
        <v>0</v>
      </c>
      <c r="W322" s="19">
        <f>[1]TOBEPAID!W244/1000</f>
        <v>0</v>
      </c>
      <c r="X322" s="19">
        <f>[1]TOBEPAID!X244/1000</f>
        <v>0</v>
      </c>
      <c r="Y322" s="19">
        <f t="shared" si="53"/>
        <v>2082.1004400000002</v>
      </c>
      <c r="Z322" s="19">
        <f>+Y322-D322</f>
        <v>4.4000000025334884E-4</v>
      </c>
      <c r="AA322" s="19">
        <f>[1]TOBEPAID!AA244/1000</f>
        <v>2082.1004400000002</v>
      </c>
      <c r="AB322" s="19">
        <f>[1]TOBEPAID!AB244/1000</f>
        <v>0</v>
      </c>
      <c r="AC322" s="19"/>
      <c r="AD322" s="19"/>
    </row>
    <row r="323" spans="1:30" x14ac:dyDescent="0.2">
      <c r="A323" s="18"/>
      <c r="C323" s="20" t="s">
        <v>96</v>
      </c>
      <c r="D323" s="19">
        <f>7344521/1000</f>
        <v>7344.5209999999997</v>
      </c>
      <c r="E323" s="19">
        <f>[1]TOBEPAID!E245/1000</f>
        <v>0</v>
      </c>
      <c r="F323" s="19">
        <f>[1]TOBEPAID!F245/1000</f>
        <v>0</v>
      </c>
      <c r="G323" s="19">
        <f>[1]TOBEPAID!G245/1000</f>
        <v>0</v>
      </c>
      <c r="H323" s="19">
        <f>[1]TOBEPAID!H245/1000</f>
        <v>0</v>
      </c>
      <c r="I323" s="19">
        <f>[1]TOBEPAID!I245/1000</f>
        <v>0</v>
      </c>
      <c r="J323" s="19">
        <f>[1]TOBEPAID!J245/1000</f>
        <v>0</v>
      </c>
      <c r="K323" s="19">
        <f>[1]TOBEPAID!K245/1000</f>
        <v>0</v>
      </c>
      <c r="L323" s="19">
        <f>[1]TOBEPAID!L245/1000</f>
        <v>0</v>
      </c>
      <c r="M323" s="19">
        <f>[1]TOBEPAID!M245/1000</f>
        <v>0</v>
      </c>
      <c r="N323" s="19">
        <f>[1]TOBEPAID!N245/1000</f>
        <v>0</v>
      </c>
      <c r="O323" s="19">
        <f>[1]TOBEPAID!O245/1000</f>
        <v>7344.5211499999996</v>
      </c>
      <c r="P323" s="19">
        <f>[1]TOBEPAID!P245/1000</f>
        <v>0</v>
      </c>
      <c r="Q323" s="19">
        <f>[1]TOBEPAID!Q245/1000</f>
        <v>0</v>
      </c>
      <c r="R323" s="19">
        <f>7344521/1000</f>
        <v>7344.5209999999997</v>
      </c>
      <c r="S323" s="19">
        <f>[1]TOBEPAID!S245/1000</f>
        <v>0</v>
      </c>
      <c r="T323" s="19">
        <f>[1]TOBEPAID!T245/1000</f>
        <v>0</v>
      </c>
      <c r="U323" s="19">
        <f>[1]TOBEPAID!U245/1000</f>
        <v>0</v>
      </c>
      <c r="V323" s="19">
        <f>[1]TOBEPAID!V245/1000</f>
        <v>0</v>
      </c>
      <c r="W323" s="19">
        <f>[1]TOBEPAID!W245/1000</f>
        <v>0</v>
      </c>
      <c r="X323" s="19">
        <f>[1]TOBEPAID!X245/1000</f>
        <v>7344.5211499999996</v>
      </c>
      <c r="Y323" s="19">
        <f t="shared" si="53"/>
        <v>7344.5209999999997</v>
      </c>
      <c r="Z323" s="19">
        <f>+D323-Y323</f>
        <v>0</v>
      </c>
      <c r="AA323" s="19">
        <f>[1]TOBEPAID!AA245/1000</f>
        <v>7344.5211499999996</v>
      </c>
      <c r="AB323" s="19">
        <f>[1]TOBEPAID!AB245/1000</f>
        <v>0</v>
      </c>
      <c r="AC323" s="19"/>
      <c r="AD323" s="19"/>
    </row>
    <row r="324" spans="1:30" x14ac:dyDescent="0.2">
      <c r="A324" s="18"/>
      <c r="C324" s="17" t="s">
        <v>97</v>
      </c>
      <c r="D324" s="19">
        <f>5603896/1000</f>
        <v>5603.8959999999997</v>
      </c>
      <c r="E324" s="19">
        <f>[1]TOBEPAID!E246/1000</f>
        <v>0</v>
      </c>
      <c r="F324" s="19">
        <f>[1]TOBEPAID!F246/1000</f>
        <v>0</v>
      </c>
      <c r="G324" s="19">
        <f>[1]TOBEPAID!G246/1000</f>
        <v>0</v>
      </c>
      <c r="H324" s="19">
        <f>[1]TOBEPAID!H246/1000</f>
        <v>0</v>
      </c>
      <c r="I324" s="19">
        <f>[1]TOBEPAID!I246/1000</f>
        <v>0</v>
      </c>
      <c r="J324" s="19">
        <f>[1]TOBEPAID!J246/1000</f>
        <v>0</v>
      </c>
      <c r="K324" s="19">
        <f>[1]TOBEPAID!K246/1000</f>
        <v>0</v>
      </c>
      <c r="L324" s="19">
        <f>[1]TOBEPAID!L246/1000</f>
        <v>0</v>
      </c>
      <c r="M324" s="19">
        <f>[1]TOBEPAID!M246/1000</f>
        <v>0</v>
      </c>
      <c r="N324" s="19">
        <f>[1]TOBEPAID!N246/1000</f>
        <v>0</v>
      </c>
      <c r="O324" s="19">
        <f>[1]TOBEPAID!O246/1000</f>
        <v>5603.8962599999995</v>
      </c>
      <c r="P324" s="19">
        <f>[1]TOBEPAID!P246/1000</f>
        <v>0</v>
      </c>
      <c r="Q324" s="19">
        <f>[1]TOBEPAID!Q246/1000</f>
        <v>0</v>
      </c>
      <c r="R324" s="19">
        <f>5603895/1000</f>
        <v>5603.8950000000004</v>
      </c>
      <c r="S324" s="19">
        <f>[1]TOBEPAID!S246/1000</f>
        <v>0</v>
      </c>
      <c r="T324" s="19">
        <f>[1]TOBEPAID!T246/1000</f>
        <v>0</v>
      </c>
      <c r="U324" s="19">
        <f>[1]TOBEPAID!U246/1000</f>
        <v>0</v>
      </c>
      <c r="V324" s="19">
        <f>[1]TOBEPAID!V246/1000</f>
        <v>0</v>
      </c>
      <c r="W324" s="19">
        <f>[1]TOBEPAID!W246/1000</f>
        <v>0</v>
      </c>
      <c r="X324" s="19">
        <f>[1]TOBEPAID!X246/1000</f>
        <v>5603.8962599999995</v>
      </c>
      <c r="Y324" s="19">
        <f t="shared" si="53"/>
        <v>5603.8950000000004</v>
      </c>
      <c r="Z324" s="19">
        <f>+D324-Y324</f>
        <v>9.9999999929423211E-4</v>
      </c>
      <c r="AA324" s="19">
        <f>[1]TOBEPAID!AA246/1000</f>
        <v>5603.8962599999995</v>
      </c>
      <c r="AB324" s="19">
        <f>[1]TOBEPAID!AB246/1000</f>
        <v>3374.0312400000003</v>
      </c>
      <c r="AC324" s="19"/>
      <c r="AD324" s="19"/>
    </row>
    <row r="325" spans="1:30" x14ac:dyDescent="0.2">
      <c r="A325" s="18"/>
      <c r="D325" s="21" t="s">
        <v>57</v>
      </c>
      <c r="E325" s="21" t="s">
        <v>57</v>
      </c>
      <c r="F325" s="21" t="s">
        <v>57</v>
      </c>
      <c r="G325" s="21"/>
      <c r="H325" s="21" t="s">
        <v>57</v>
      </c>
      <c r="I325" s="21" t="s">
        <v>57</v>
      </c>
      <c r="J325" s="21" t="s">
        <v>57</v>
      </c>
      <c r="K325" s="21" t="s">
        <v>57</v>
      </c>
      <c r="L325" s="21" t="s">
        <v>57</v>
      </c>
      <c r="M325" s="21"/>
      <c r="N325" s="21" t="s">
        <v>57</v>
      </c>
      <c r="O325" s="21" t="s">
        <v>57</v>
      </c>
      <c r="P325" s="21" t="s">
        <v>57</v>
      </c>
      <c r="Q325" s="21"/>
      <c r="R325" s="21" t="s">
        <v>57</v>
      </c>
      <c r="S325" s="21" t="s">
        <v>57</v>
      </c>
      <c r="T325" s="21" t="s">
        <v>57</v>
      </c>
      <c r="U325" s="21" t="s">
        <v>57</v>
      </c>
      <c r="V325" s="21" t="s">
        <v>57</v>
      </c>
      <c r="W325" s="21"/>
      <c r="X325" s="21" t="s">
        <v>57</v>
      </c>
      <c r="Y325" s="21" t="s">
        <v>57</v>
      </c>
      <c r="Z325" s="21" t="s">
        <v>57</v>
      </c>
      <c r="AA325" s="21" t="s">
        <v>57</v>
      </c>
      <c r="AB325" s="21" t="s">
        <v>57</v>
      </c>
      <c r="AC325" s="21"/>
      <c r="AD325" s="21"/>
    </row>
    <row r="326" spans="1:30" x14ac:dyDescent="0.2">
      <c r="A326" s="18"/>
      <c r="D326" s="19">
        <f>SUM(D316:D324)</f>
        <v>391700.36499999999</v>
      </c>
      <c r="E326" s="19">
        <f>SUM(E316:E324)</f>
        <v>95124.392240000001</v>
      </c>
      <c r="F326" s="19">
        <f>SUM(F316:F324)</f>
        <v>0</v>
      </c>
      <c r="G326" s="19"/>
      <c r="H326" s="19">
        <f>SUM(H316:H324)</f>
        <v>373179.50923999998</v>
      </c>
      <c r="I326" s="19">
        <f>SUM(I316:I324)</f>
        <v>0</v>
      </c>
      <c r="J326" s="19">
        <f>SUM(J316:J324)</f>
        <v>0</v>
      </c>
      <c r="K326" s="19">
        <f>SUM(K316:K324)</f>
        <v>0</v>
      </c>
      <c r="L326" s="19">
        <f>SUM(L316:L324)</f>
        <v>0</v>
      </c>
      <c r="M326" s="19"/>
      <c r="N326" s="19">
        <f>SUM(N316:N324)</f>
        <v>95124.392240000001</v>
      </c>
      <c r="O326" s="19">
        <f>SUM(O316:O324)</f>
        <v>16258.939109999999</v>
      </c>
      <c r="P326" s="19">
        <f>SUM(P316:P324)</f>
        <v>0</v>
      </c>
      <c r="Q326" s="19"/>
      <c r="R326" s="19">
        <f>SUM(R316:R324)</f>
        <v>18515.436000000002</v>
      </c>
      <c r="S326" s="19">
        <f>SUM(S316:S324)</f>
        <v>0</v>
      </c>
      <c r="T326" s="19">
        <f>SUM(T316:T324)</f>
        <v>0</v>
      </c>
      <c r="U326" s="19">
        <f>SUM(U316:U324)</f>
        <v>0</v>
      </c>
      <c r="V326" s="19">
        <f>SUM(V316:V324)</f>
        <v>0</v>
      </c>
      <c r="W326" s="19"/>
      <c r="X326" s="19">
        <f>SUM(X316:X324)</f>
        <v>16258.939109999999</v>
      </c>
      <c r="Y326" s="19">
        <f>SUM(Y316:Y324)</f>
        <v>391694.94524000003</v>
      </c>
      <c r="Z326" s="19">
        <f>SUM(Z316:Z324)</f>
        <v>5.4222399999994195</v>
      </c>
      <c r="AA326" s="19">
        <f>SUM(AA316:AA324)</f>
        <v>111383.33134999998</v>
      </c>
      <c r="AB326" s="19">
        <f>SUM(AB316:AB324)</f>
        <v>12661.918680000002</v>
      </c>
      <c r="AC326" s="19"/>
      <c r="AD326" s="19"/>
    </row>
    <row r="327" spans="1:30" x14ac:dyDescent="0.2">
      <c r="A327" s="18"/>
      <c r="D327" s="21" t="s">
        <v>57</v>
      </c>
      <c r="E327" s="21" t="s">
        <v>57</v>
      </c>
      <c r="F327" s="21" t="s">
        <v>57</v>
      </c>
      <c r="G327" s="21"/>
      <c r="H327" s="21" t="s">
        <v>57</v>
      </c>
      <c r="I327" s="21" t="s">
        <v>57</v>
      </c>
      <c r="J327" s="21" t="s">
        <v>57</v>
      </c>
      <c r="K327" s="21" t="s">
        <v>57</v>
      </c>
      <c r="L327" s="21" t="s">
        <v>57</v>
      </c>
      <c r="M327" s="21"/>
      <c r="N327" s="21" t="s">
        <v>57</v>
      </c>
      <c r="O327" s="21" t="s">
        <v>57</v>
      </c>
      <c r="P327" s="21" t="s">
        <v>57</v>
      </c>
      <c r="Q327" s="21"/>
      <c r="R327" s="21" t="s">
        <v>57</v>
      </c>
      <c r="S327" s="21" t="s">
        <v>57</v>
      </c>
      <c r="T327" s="21" t="s">
        <v>57</v>
      </c>
      <c r="U327" s="21" t="s">
        <v>57</v>
      </c>
      <c r="V327" s="21" t="s">
        <v>57</v>
      </c>
      <c r="W327" s="21"/>
      <c r="X327" s="21" t="s">
        <v>57</v>
      </c>
      <c r="Y327" s="21" t="s">
        <v>57</v>
      </c>
      <c r="Z327" s="21" t="s">
        <v>57</v>
      </c>
      <c r="AA327" s="21" t="s">
        <v>57</v>
      </c>
      <c r="AB327" s="21" t="s">
        <v>57</v>
      </c>
      <c r="AC327" s="21"/>
      <c r="AD327" s="21"/>
    </row>
    <row r="328" spans="1:30" x14ac:dyDescent="0.2">
      <c r="A328" s="18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1:30" x14ac:dyDescent="0.2">
      <c r="A329" s="18">
        <v>23</v>
      </c>
      <c r="B329" s="17" t="s">
        <v>173</v>
      </c>
      <c r="C329" s="17" t="s">
        <v>51</v>
      </c>
      <c r="D329" s="19">
        <f>79827573/1000</f>
        <v>79827.573000000004</v>
      </c>
      <c r="E329" s="19">
        <f>[1]TOBEPAID!E251/1000</f>
        <v>2000</v>
      </c>
      <c r="F329" s="19">
        <f>[1]TOBEPAID!F251/1000</f>
        <v>0</v>
      </c>
      <c r="G329" s="19">
        <f>[1]TOBEPAID!G251/1000</f>
        <v>0</v>
      </c>
      <c r="H329" s="19">
        <f>2000000/1000</f>
        <v>2000</v>
      </c>
      <c r="I329" s="19">
        <f>[1]TOBEPAID!I251/1000</f>
        <v>0</v>
      </c>
      <c r="J329" s="19">
        <f>[1]TOBEPAID!J251/1000</f>
        <v>0</v>
      </c>
      <c r="K329" s="19">
        <f>[1]TOBEPAID!K251/1000</f>
        <v>0</v>
      </c>
      <c r="L329" s="19">
        <f>[1]TOBEPAID!L251/1000</f>
        <v>0</v>
      </c>
      <c r="M329" s="19">
        <f>[1]TOBEPAID!M251/1000</f>
        <v>0</v>
      </c>
      <c r="N329" s="19">
        <f>[1]TOBEPAID!N251/1000</f>
        <v>2000</v>
      </c>
      <c r="O329" s="19">
        <f>[1]TOBEPAID!O251/1000</f>
        <v>7857.4011700000001</v>
      </c>
      <c r="P329" s="19">
        <f>[1]TOBEPAID!P251/1000</f>
        <v>0</v>
      </c>
      <c r="Q329" s="19">
        <f>[1]TOBEPAID!Q251/1000</f>
        <v>0</v>
      </c>
      <c r="R329" s="19">
        <f>12395583.86/1000</f>
        <v>12395.583859999999</v>
      </c>
      <c r="S329" s="19">
        <f>[1]TOBEPAID!S251/1000</f>
        <v>0</v>
      </c>
      <c r="T329" s="19">
        <f>[1]TOBEPAID!T251/1000</f>
        <v>0</v>
      </c>
      <c r="U329" s="19">
        <f>[1]TOBEPAID!U251/1000</f>
        <v>0</v>
      </c>
      <c r="V329" s="19">
        <f>[1]TOBEPAID!V251/1000</f>
        <v>0</v>
      </c>
      <c r="W329" s="19">
        <f>[1]TOBEPAID!W251/1000</f>
        <v>0</v>
      </c>
      <c r="X329" s="19">
        <f>[1]TOBEPAID!X251/1000</f>
        <v>7857.4011700000001</v>
      </c>
      <c r="Y329" s="19">
        <f>+H329+R329</f>
        <v>14395.583859999999</v>
      </c>
      <c r="Z329" s="19">
        <f t="shared" ref="Z329:Z337" si="54">+D329-Y329</f>
        <v>65431.989140000005</v>
      </c>
      <c r="AA329" s="19">
        <f>[1]TOBEPAID!AA251/1000</f>
        <v>9857.4011699999992</v>
      </c>
      <c r="AB329" s="19">
        <f>[1]TOBEPAID!AB251/1000</f>
        <v>69970.172820000007</v>
      </c>
      <c r="AC329" s="19"/>
      <c r="AD329" s="19"/>
    </row>
    <row r="330" spans="1:30" x14ac:dyDescent="0.2">
      <c r="A330" s="18"/>
      <c r="C330" s="20" t="s">
        <v>52</v>
      </c>
      <c r="D330" s="19">
        <f>2084500/1000</f>
        <v>2084.5</v>
      </c>
      <c r="E330" s="19">
        <f>[1]TOBEPAID!E252/1000</f>
        <v>2084.5</v>
      </c>
      <c r="F330" s="19">
        <f>[1]TOBEPAID!F252/1000</f>
        <v>0</v>
      </c>
      <c r="G330" s="19">
        <f>[1]TOBEPAID!G252/1000</f>
        <v>0</v>
      </c>
      <c r="H330" s="19">
        <f>2084500/1000</f>
        <v>2084.5</v>
      </c>
      <c r="I330" s="19">
        <f>[1]TOBEPAID!I252/1000</f>
        <v>0</v>
      </c>
      <c r="J330" s="19">
        <f>[1]TOBEPAID!J252/1000</f>
        <v>0</v>
      </c>
      <c r="K330" s="19">
        <f>[1]TOBEPAID!K252/1000</f>
        <v>0</v>
      </c>
      <c r="L330" s="19">
        <f>[1]TOBEPAID!L252/1000</f>
        <v>0</v>
      </c>
      <c r="M330" s="19">
        <f>[1]TOBEPAID!M252/1000</f>
        <v>0</v>
      </c>
      <c r="N330" s="19">
        <f>[1]TOBEPAID!N252/1000</f>
        <v>2084.5</v>
      </c>
      <c r="O330" s="19">
        <f>[1]TOBEPAID!O252/1000</f>
        <v>0</v>
      </c>
      <c r="P330" s="19">
        <f>[1]TOBEPAID!P252/1000</f>
        <v>0</v>
      </c>
      <c r="Q330" s="19">
        <f>[1]TOBEPAID!Q252/1000</f>
        <v>0</v>
      </c>
      <c r="R330" s="19">
        <v>0</v>
      </c>
      <c r="S330" s="19">
        <f>[1]TOBEPAID!S252/1000</f>
        <v>0</v>
      </c>
      <c r="T330" s="19">
        <f>[1]TOBEPAID!T252/1000</f>
        <v>0</v>
      </c>
      <c r="U330" s="19">
        <f>[1]TOBEPAID!U252/1000</f>
        <v>0</v>
      </c>
      <c r="V330" s="19">
        <f>[1]TOBEPAID!V252/1000</f>
        <v>0</v>
      </c>
      <c r="W330" s="19">
        <f>[1]TOBEPAID!W252/1000</f>
        <v>0</v>
      </c>
      <c r="X330" s="19">
        <f>[1]TOBEPAID!X252/1000</f>
        <v>0</v>
      </c>
      <c r="Y330" s="19">
        <f t="shared" ref="Y330:Y337" si="55">+H330+R330</f>
        <v>2084.5</v>
      </c>
      <c r="Z330" s="19">
        <f t="shared" si="54"/>
        <v>0</v>
      </c>
      <c r="AA330" s="19">
        <f>[1]TOBEPAID!AA252/1000</f>
        <v>2084.5</v>
      </c>
      <c r="AB330" s="19">
        <f>[1]TOBEPAID!AB252/1000</f>
        <v>0</v>
      </c>
      <c r="AC330" s="19"/>
      <c r="AD330" s="19"/>
    </row>
    <row r="331" spans="1:30" x14ac:dyDescent="0.2">
      <c r="A331" s="18"/>
      <c r="C331" s="20" t="s">
        <v>170</v>
      </c>
      <c r="D331" s="19">
        <f>20736000/1000</f>
        <v>20736</v>
      </c>
      <c r="E331" s="19">
        <f>[1]TOBEPAID!E253/1000</f>
        <v>20736</v>
      </c>
      <c r="F331" s="19">
        <f>[1]TOBEPAID!F253/1000</f>
        <v>0</v>
      </c>
      <c r="G331" s="19">
        <f>[1]TOBEPAID!G253/1000</f>
        <v>0</v>
      </c>
      <c r="H331" s="19">
        <f>[1]TOBEPAID!H253/1000</f>
        <v>20736</v>
      </c>
      <c r="I331" s="19">
        <f>[1]TOBEPAID!I253/1000</f>
        <v>0</v>
      </c>
      <c r="J331" s="19">
        <f>[1]TOBEPAID!J253/1000</f>
        <v>0</v>
      </c>
      <c r="K331" s="19">
        <f>[1]TOBEPAID!K253/1000</f>
        <v>0</v>
      </c>
      <c r="L331" s="19">
        <f>[1]TOBEPAID!L253/1000</f>
        <v>0</v>
      </c>
      <c r="M331" s="19">
        <f>[1]TOBEPAID!M253/1000</f>
        <v>0</v>
      </c>
      <c r="N331" s="19">
        <f>[1]TOBEPAID!N253/1000</f>
        <v>20736</v>
      </c>
      <c r="O331" s="19">
        <f>[1]TOBEPAID!O253/1000</f>
        <v>0</v>
      </c>
      <c r="P331" s="19">
        <f>[1]TOBEPAID!P253/1000</f>
        <v>0</v>
      </c>
      <c r="Q331" s="19">
        <f>[1]TOBEPAID!Q253/1000</f>
        <v>0</v>
      </c>
      <c r="R331" s="19">
        <v>0</v>
      </c>
      <c r="S331" s="19">
        <f>[1]TOBEPAID!S253/1000</f>
        <v>0</v>
      </c>
      <c r="T331" s="19">
        <f>[1]TOBEPAID!T253/1000</f>
        <v>0</v>
      </c>
      <c r="U331" s="19">
        <f>[1]TOBEPAID!U253/1000</f>
        <v>0</v>
      </c>
      <c r="V331" s="19">
        <f>[1]TOBEPAID!V253/1000</f>
        <v>0</v>
      </c>
      <c r="W331" s="19">
        <f>[1]TOBEPAID!W253/1000</f>
        <v>0</v>
      </c>
      <c r="X331" s="19">
        <f>[1]TOBEPAID!X253/1000</f>
        <v>0</v>
      </c>
      <c r="Y331" s="19">
        <f t="shared" si="55"/>
        <v>20736</v>
      </c>
      <c r="Z331" s="19">
        <f t="shared" si="54"/>
        <v>0</v>
      </c>
      <c r="AA331" s="19">
        <f>[1]TOBEPAID!AA253/1000</f>
        <v>20736</v>
      </c>
      <c r="AB331" s="19">
        <f>[1]TOBEPAID!AB253/1000</f>
        <v>0</v>
      </c>
      <c r="AC331" s="19"/>
      <c r="AD331" s="19"/>
    </row>
    <row r="332" spans="1:30" x14ac:dyDescent="0.2">
      <c r="A332" s="18"/>
      <c r="C332" s="20" t="s">
        <v>128</v>
      </c>
      <c r="D332" s="19">
        <f>110000000/1000</f>
        <v>110000</v>
      </c>
      <c r="E332" s="19"/>
      <c r="F332" s="19"/>
      <c r="G332" s="19"/>
      <c r="H332" s="19">
        <f>110000000/1000</f>
        <v>110000</v>
      </c>
      <c r="I332" s="19"/>
      <c r="J332" s="19"/>
      <c r="K332" s="19"/>
      <c r="L332" s="19"/>
      <c r="M332" s="19"/>
      <c r="N332" s="19"/>
      <c r="O332" s="19"/>
      <c r="P332" s="19"/>
      <c r="Q332" s="19"/>
      <c r="R332" s="19">
        <v>0</v>
      </c>
      <c r="S332" s="19"/>
      <c r="T332" s="19"/>
      <c r="U332" s="19"/>
      <c r="V332" s="19"/>
      <c r="W332" s="19"/>
      <c r="X332" s="19"/>
      <c r="Y332" s="19">
        <f>+H332+R332</f>
        <v>110000</v>
      </c>
      <c r="Z332" s="19">
        <f>+D332-Y332</f>
        <v>0</v>
      </c>
      <c r="AA332" s="19"/>
      <c r="AB332" s="19"/>
      <c r="AC332" s="19"/>
      <c r="AD332" s="19"/>
    </row>
    <row r="333" spans="1:30" x14ac:dyDescent="0.2">
      <c r="C333" s="3" t="s">
        <v>62</v>
      </c>
      <c r="D333" s="19">
        <v>0</v>
      </c>
      <c r="E333" s="19">
        <f>[1]TOBEPAID!E254/1000</f>
        <v>3347.7730000000001</v>
      </c>
      <c r="F333" s="19">
        <f>[1]TOBEPAID!F254/1000</f>
        <v>0</v>
      </c>
      <c r="G333" s="19">
        <f>[1]TOBEPAID!G254/1000</f>
        <v>0</v>
      </c>
      <c r="H333" s="19">
        <v>0</v>
      </c>
      <c r="I333" s="19">
        <f>[1]TOBEPAID!I254/1000</f>
        <v>0</v>
      </c>
      <c r="J333" s="19">
        <f>[1]TOBEPAID!J254/1000</f>
        <v>0</v>
      </c>
      <c r="K333" s="19">
        <f>[1]TOBEPAID!K254/1000</f>
        <v>0</v>
      </c>
      <c r="L333" s="19">
        <f>[1]TOBEPAID!L254/1000</f>
        <v>0</v>
      </c>
      <c r="M333" s="19">
        <f>[1]TOBEPAID!M254/1000</f>
        <v>0</v>
      </c>
      <c r="N333" s="19">
        <f>[1]TOBEPAID!N254/1000</f>
        <v>3347.7730000000001</v>
      </c>
      <c r="O333" s="19">
        <f>[1]TOBEPAID!O254/1000</f>
        <v>0</v>
      </c>
      <c r="P333" s="19">
        <f>[1]TOBEPAID!P254/1000</f>
        <v>0</v>
      </c>
      <c r="Q333" s="19">
        <f>[1]TOBEPAID!Q254/1000</f>
        <v>0</v>
      </c>
      <c r="R333" s="19">
        <v>0</v>
      </c>
      <c r="S333" s="19">
        <f>[1]TOBEPAID!S254/1000</f>
        <v>0</v>
      </c>
      <c r="T333" s="19">
        <f>[1]TOBEPAID!T254/1000</f>
        <v>0</v>
      </c>
      <c r="U333" s="19">
        <f>[1]TOBEPAID!U254/1000</f>
        <v>0</v>
      </c>
      <c r="V333" s="19">
        <f>[1]TOBEPAID!V254/1000</f>
        <v>0</v>
      </c>
      <c r="W333" s="19">
        <f>[1]TOBEPAID!W254/1000</f>
        <v>0</v>
      </c>
      <c r="X333" s="19">
        <f>[1]TOBEPAID!X254/1000</f>
        <v>0</v>
      </c>
      <c r="Y333" s="19">
        <f t="shared" si="55"/>
        <v>0</v>
      </c>
      <c r="Z333" s="19">
        <f t="shared" si="54"/>
        <v>0</v>
      </c>
      <c r="AA333" s="19">
        <f>[1]TOBEPAID!AA254/1000</f>
        <v>3347.7730000000001</v>
      </c>
      <c r="AB333" s="19">
        <f>[1]TOBEPAID!AB254/1000</f>
        <v>7.5000000000000002E-4</v>
      </c>
      <c r="AC333" s="19"/>
      <c r="AD333" s="19"/>
    </row>
    <row r="334" spans="1:30" x14ac:dyDescent="0.2">
      <c r="C334" s="3" t="s">
        <v>78</v>
      </c>
      <c r="D334" s="19">
        <f>6720000/1000</f>
        <v>6720</v>
      </c>
      <c r="E334" s="19">
        <f>[1]TOBEPAID!E255/1000</f>
        <v>6720</v>
      </c>
      <c r="F334" s="19">
        <f>[1]TOBEPAID!F255/1000</f>
        <v>0</v>
      </c>
      <c r="G334" s="19">
        <f>[1]TOBEPAID!G255/1000</f>
        <v>0</v>
      </c>
      <c r="H334" s="19">
        <f>[1]TOBEPAID!H255/1000</f>
        <v>6720</v>
      </c>
      <c r="I334" s="19">
        <f>[1]TOBEPAID!I255/1000</f>
        <v>0</v>
      </c>
      <c r="J334" s="19">
        <f>[1]TOBEPAID!J255/1000</f>
        <v>0</v>
      </c>
      <c r="K334" s="19">
        <f>[1]TOBEPAID!K255/1000</f>
        <v>0</v>
      </c>
      <c r="L334" s="19">
        <f>[1]TOBEPAID!L255/1000</f>
        <v>0</v>
      </c>
      <c r="M334" s="19">
        <f>[1]TOBEPAID!M255/1000</f>
        <v>0</v>
      </c>
      <c r="N334" s="19">
        <f>[1]TOBEPAID!N255/1000</f>
        <v>6720</v>
      </c>
      <c r="O334" s="19">
        <f>[1]TOBEPAID!O255/1000</f>
        <v>0</v>
      </c>
      <c r="P334" s="19">
        <f>[1]TOBEPAID!P255/1000</f>
        <v>0</v>
      </c>
      <c r="Q334" s="19">
        <f>[1]TOBEPAID!Q255/1000</f>
        <v>0</v>
      </c>
      <c r="R334" s="19">
        <v>0</v>
      </c>
      <c r="S334" s="19">
        <f>[1]TOBEPAID!S255/1000</f>
        <v>0</v>
      </c>
      <c r="T334" s="19">
        <f>[1]TOBEPAID!T255/1000</f>
        <v>0</v>
      </c>
      <c r="U334" s="19">
        <f>[1]TOBEPAID!U255/1000</f>
        <v>0</v>
      </c>
      <c r="V334" s="19">
        <f>[1]TOBEPAID!V255/1000</f>
        <v>0</v>
      </c>
      <c r="W334" s="19">
        <f>[1]TOBEPAID!W255/1000</f>
        <v>0</v>
      </c>
      <c r="X334" s="19">
        <f>[1]TOBEPAID!X255/1000</f>
        <v>0</v>
      </c>
      <c r="Y334" s="19">
        <f t="shared" si="55"/>
        <v>6720</v>
      </c>
      <c r="Z334" s="19">
        <f t="shared" si="54"/>
        <v>0</v>
      </c>
      <c r="AA334" s="19">
        <f>[1]TOBEPAID!AA255/1000</f>
        <v>6720</v>
      </c>
      <c r="AB334" s="19">
        <f>[1]TOBEPAID!AB255/1000</f>
        <v>0</v>
      </c>
      <c r="AC334" s="19"/>
      <c r="AD334" s="19"/>
    </row>
    <row r="335" spans="1:30" x14ac:dyDescent="0.2">
      <c r="A335" s="18"/>
      <c r="C335" s="54" t="s">
        <v>167</v>
      </c>
      <c r="D335" s="19">
        <f>6697870/1000</f>
        <v>6697.87</v>
      </c>
      <c r="E335" s="19">
        <f>[1]TOBEPAID!E256/1000</f>
        <v>6697.87</v>
      </c>
      <c r="F335" s="19">
        <f>[1]TOBEPAID!F256/1000</f>
        <v>0</v>
      </c>
      <c r="G335" s="19">
        <f>[1]TOBEPAID!G256/1000</f>
        <v>0</v>
      </c>
      <c r="H335" s="19">
        <f>[1]TOBEPAID!H256/1000</f>
        <v>6697.87</v>
      </c>
      <c r="I335" s="19">
        <f>[1]TOBEPAID!I256/1000</f>
        <v>0</v>
      </c>
      <c r="J335" s="19">
        <f>[1]TOBEPAID!J256/1000</f>
        <v>0</v>
      </c>
      <c r="K335" s="19">
        <f>[1]TOBEPAID!K256/1000</f>
        <v>0</v>
      </c>
      <c r="L335" s="19">
        <f>[1]TOBEPAID!L256/1000</f>
        <v>0</v>
      </c>
      <c r="M335" s="19">
        <f>[1]TOBEPAID!M256/1000</f>
        <v>0</v>
      </c>
      <c r="N335" s="19">
        <f>[1]TOBEPAID!N256/1000</f>
        <v>6697.87</v>
      </c>
      <c r="O335" s="19">
        <f>[1]TOBEPAID!O256/1000</f>
        <v>0</v>
      </c>
      <c r="P335" s="19">
        <f>[1]TOBEPAID!P256/1000</f>
        <v>0</v>
      </c>
      <c r="Q335" s="19">
        <f>[1]TOBEPAID!Q256/1000</f>
        <v>0</v>
      </c>
      <c r="R335" s="19">
        <v>0</v>
      </c>
      <c r="S335" s="19">
        <f>[1]TOBEPAID!S256/1000</f>
        <v>0</v>
      </c>
      <c r="T335" s="19">
        <f>[1]TOBEPAID!T256/1000</f>
        <v>0</v>
      </c>
      <c r="U335" s="19">
        <f>[1]TOBEPAID!U256/1000</f>
        <v>0</v>
      </c>
      <c r="V335" s="19">
        <f>[1]TOBEPAID!V256/1000</f>
        <v>0</v>
      </c>
      <c r="W335" s="19">
        <f>[1]TOBEPAID!W256/1000</f>
        <v>0</v>
      </c>
      <c r="X335" s="19">
        <f>[1]TOBEPAID!X256/1000</f>
        <v>0</v>
      </c>
      <c r="Y335" s="19">
        <f t="shared" si="55"/>
        <v>6697.87</v>
      </c>
      <c r="Z335" s="19">
        <f t="shared" si="54"/>
        <v>0</v>
      </c>
      <c r="AA335" s="19">
        <f>[1]TOBEPAID!AA256/1000</f>
        <v>6697.87</v>
      </c>
      <c r="AB335" s="19">
        <f>[1]TOBEPAID!AB256/1000</f>
        <v>0</v>
      </c>
      <c r="AC335" s="19"/>
      <c r="AD335" s="19"/>
    </row>
    <row r="336" spans="1:30" x14ac:dyDescent="0.2">
      <c r="A336" s="18"/>
      <c r="C336" s="17" t="s">
        <v>54</v>
      </c>
      <c r="D336" s="19">
        <f>[1]TOBEPAID!D257/1000</f>
        <v>24800.022869999997</v>
      </c>
      <c r="E336" s="19">
        <f>[1]TOBEPAID!E257/1000</f>
        <v>0</v>
      </c>
      <c r="F336" s="19">
        <f>[1]TOBEPAID!F257/1000</f>
        <v>0</v>
      </c>
      <c r="G336" s="19">
        <f>[1]TOBEPAID!G257/1000</f>
        <v>0</v>
      </c>
      <c r="H336" s="19">
        <f>[1]TOBEPAID!H257/1000</f>
        <v>0</v>
      </c>
      <c r="I336" s="19">
        <f>[1]TOBEPAID!I257/1000</f>
        <v>0</v>
      </c>
      <c r="J336" s="19">
        <f>[1]TOBEPAID!J257/1000</f>
        <v>0</v>
      </c>
      <c r="K336" s="19">
        <f>[1]TOBEPAID!K257/1000</f>
        <v>0</v>
      </c>
      <c r="L336" s="19">
        <f>[1]TOBEPAID!L257/1000</f>
        <v>0</v>
      </c>
      <c r="M336" s="19">
        <f>[1]TOBEPAID!M257/1000</f>
        <v>0</v>
      </c>
      <c r="N336" s="19">
        <f>[1]TOBEPAID!N257/1000</f>
        <v>0</v>
      </c>
      <c r="O336" s="19">
        <f>[1]TOBEPAID!O257/1000</f>
        <v>1249.32295</v>
      </c>
      <c r="P336" s="19">
        <f>[1]TOBEPAID!P257/1000</f>
        <v>0</v>
      </c>
      <c r="Q336" s="19">
        <f>[1]TOBEPAID!Q257/1000</f>
        <v>0</v>
      </c>
      <c r="R336" s="19">
        <f>1249322/1000</f>
        <v>1249.3219999999999</v>
      </c>
      <c r="S336" s="19">
        <f>[1]TOBEPAID!S257/1000</f>
        <v>0</v>
      </c>
      <c r="T336" s="19">
        <f>[1]TOBEPAID!T257/1000</f>
        <v>0</v>
      </c>
      <c r="U336" s="19">
        <f>[1]TOBEPAID!U257/1000</f>
        <v>0</v>
      </c>
      <c r="V336" s="19">
        <f>[1]TOBEPAID!V257/1000</f>
        <v>0</v>
      </c>
      <c r="W336" s="19">
        <f>[1]TOBEPAID!W257/1000</f>
        <v>0</v>
      </c>
      <c r="X336" s="19">
        <f>[1]TOBEPAID!X257/1000</f>
        <v>1249.32295</v>
      </c>
      <c r="Y336" s="19">
        <f t="shared" si="55"/>
        <v>1249.3219999999999</v>
      </c>
      <c r="Z336" s="19">
        <f t="shared" si="54"/>
        <v>23550.700869999997</v>
      </c>
      <c r="AA336" s="19">
        <f>[1]TOBEPAID!AA257/1000</f>
        <v>1249.32295</v>
      </c>
      <c r="AB336" s="19">
        <f>[1]TOBEPAID!AB257/1000</f>
        <v>23550.699919999999</v>
      </c>
      <c r="AC336" s="19"/>
      <c r="AD336" s="19"/>
    </row>
    <row r="337" spans="1:30" x14ac:dyDescent="0.2">
      <c r="A337" s="18"/>
      <c r="C337" s="17" t="s">
        <v>56</v>
      </c>
      <c r="D337" s="19">
        <f>[1]TOBEPAID!D258/1000</f>
        <v>5654.2043700000004</v>
      </c>
      <c r="E337" s="19">
        <f>[1]TOBEPAID!E258/1000</f>
        <v>0</v>
      </c>
      <c r="F337" s="19">
        <f>[1]TOBEPAID!F258/1000</f>
        <v>0</v>
      </c>
      <c r="G337" s="19">
        <f>[1]TOBEPAID!G258/1000</f>
        <v>0</v>
      </c>
      <c r="H337" s="19">
        <f>[1]TOBEPAID!H258/1000</f>
        <v>0</v>
      </c>
      <c r="I337" s="19">
        <f>[1]TOBEPAID!I258/1000</f>
        <v>0</v>
      </c>
      <c r="J337" s="19">
        <f>[1]TOBEPAID!J258/1000</f>
        <v>0</v>
      </c>
      <c r="K337" s="19">
        <f>[1]TOBEPAID!K258/1000</f>
        <v>0</v>
      </c>
      <c r="L337" s="19">
        <f>[1]TOBEPAID!L258/1000</f>
        <v>0</v>
      </c>
      <c r="M337" s="19">
        <f>[1]TOBEPAID!M258/1000</f>
        <v>0</v>
      </c>
      <c r="N337" s="19">
        <f>[1]TOBEPAID!N258/1000</f>
        <v>0</v>
      </c>
      <c r="O337" s="19">
        <f>[1]TOBEPAID!O258/1000</f>
        <v>0</v>
      </c>
      <c r="P337" s="19">
        <f>[1]TOBEPAID!P258/1000</f>
        <v>0</v>
      </c>
      <c r="Q337" s="19">
        <f>[1]TOBEPAID!Q258/1000</f>
        <v>0</v>
      </c>
      <c r="R337" s="19">
        <f>[1]TOBEPAID!R258/1000</f>
        <v>0</v>
      </c>
      <c r="S337" s="19">
        <f>[1]TOBEPAID!S258/1000</f>
        <v>0</v>
      </c>
      <c r="T337" s="19">
        <f>[1]TOBEPAID!T258/1000</f>
        <v>0</v>
      </c>
      <c r="U337" s="19">
        <f>[1]TOBEPAID!U258/1000</f>
        <v>0</v>
      </c>
      <c r="V337" s="19">
        <f>[1]TOBEPAID!V258/1000</f>
        <v>0</v>
      </c>
      <c r="W337" s="19">
        <f>[1]TOBEPAID!W258/1000</f>
        <v>0</v>
      </c>
      <c r="X337" s="19">
        <f>[1]TOBEPAID!X258/1000</f>
        <v>0</v>
      </c>
      <c r="Y337" s="19">
        <f t="shared" si="55"/>
        <v>0</v>
      </c>
      <c r="Z337" s="19">
        <f t="shared" si="54"/>
        <v>5654.2043700000004</v>
      </c>
      <c r="AA337" s="19">
        <f>[1]TOBEPAID!AA258/1000</f>
        <v>0</v>
      </c>
      <c r="AB337" s="19">
        <f>[1]TOBEPAID!AB258/1000</f>
        <v>5654.2043700000004</v>
      </c>
      <c r="AC337" s="19"/>
      <c r="AD337" s="19"/>
    </row>
    <row r="338" spans="1:30" x14ac:dyDescent="0.2">
      <c r="A338" s="18"/>
      <c r="D338" s="21" t="s">
        <v>57</v>
      </c>
      <c r="E338" s="21" t="s">
        <v>57</v>
      </c>
      <c r="F338" s="21" t="s">
        <v>57</v>
      </c>
      <c r="G338" s="21"/>
      <c r="H338" s="21" t="s">
        <v>57</v>
      </c>
      <c r="I338" s="21" t="s">
        <v>57</v>
      </c>
      <c r="J338" s="21" t="s">
        <v>57</v>
      </c>
      <c r="K338" s="21" t="s">
        <v>57</v>
      </c>
      <c r="L338" s="21" t="s">
        <v>57</v>
      </c>
      <c r="M338" s="21"/>
      <c r="N338" s="21" t="s">
        <v>57</v>
      </c>
      <c r="O338" s="21" t="s">
        <v>57</v>
      </c>
      <c r="P338" s="21" t="s">
        <v>57</v>
      </c>
      <c r="Q338" s="21"/>
      <c r="R338" s="21" t="s">
        <v>57</v>
      </c>
      <c r="S338" s="21" t="s">
        <v>57</v>
      </c>
      <c r="T338" s="21" t="s">
        <v>57</v>
      </c>
      <c r="U338" s="21" t="s">
        <v>57</v>
      </c>
      <c r="V338" s="21" t="s">
        <v>57</v>
      </c>
      <c r="W338" s="21"/>
      <c r="X338" s="21" t="s">
        <v>57</v>
      </c>
      <c r="Y338" s="21" t="s">
        <v>57</v>
      </c>
      <c r="Z338" s="21" t="s">
        <v>57</v>
      </c>
      <c r="AA338" s="21" t="s">
        <v>57</v>
      </c>
      <c r="AB338" s="21" t="s">
        <v>57</v>
      </c>
      <c r="AC338" s="21"/>
      <c r="AD338" s="21"/>
    </row>
    <row r="339" spans="1:30" x14ac:dyDescent="0.2">
      <c r="A339" s="18"/>
      <c r="D339" s="19">
        <f>SUM(D329:D337)</f>
        <v>256520.17023999998</v>
      </c>
      <c r="E339" s="19">
        <f>SUM(E329:E337)</f>
        <v>41586.143000000004</v>
      </c>
      <c r="F339" s="19">
        <f>SUM(F329:F337)</f>
        <v>0</v>
      </c>
      <c r="G339" s="19"/>
      <c r="H339" s="19">
        <f>SUM(H329:H337)</f>
        <v>148238.37</v>
      </c>
      <c r="I339" s="19">
        <f>SUM(I329:I337)</f>
        <v>0</v>
      </c>
      <c r="J339" s="19">
        <f>SUM(J329:J337)</f>
        <v>0</v>
      </c>
      <c r="K339" s="19">
        <f>SUM(K329:K337)</f>
        <v>0</v>
      </c>
      <c r="L339" s="19">
        <f>SUM(L329:L337)</f>
        <v>0</v>
      </c>
      <c r="M339" s="19"/>
      <c r="N339" s="19">
        <f>SUM(N329:N337)</f>
        <v>41586.143000000004</v>
      </c>
      <c r="O339" s="19">
        <f>SUM(O329:O337)</f>
        <v>9106.7241200000008</v>
      </c>
      <c r="P339" s="19">
        <f>SUM(P329:P337)</f>
        <v>0</v>
      </c>
      <c r="Q339" s="19"/>
      <c r="R339" s="19">
        <f>SUM(R329:R337)</f>
        <v>13644.905859999999</v>
      </c>
      <c r="S339" s="19">
        <f>SUM(S329:S337)</f>
        <v>0</v>
      </c>
      <c r="T339" s="19">
        <f>SUM(T329:T337)</f>
        <v>0</v>
      </c>
      <c r="U339" s="19">
        <f>SUM(U329:U337)</f>
        <v>0</v>
      </c>
      <c r="V339" s="19">
        <f>SUM(V329:V337)</f>
        <v>0</v>
      </c>
      <c r="W339" s="19"/>
      <c r="X339" s="19">
        <f>SUM(X329:X337)</f>
        <v>9106.7241200000008</v>
      </c>
      <c r="Y339" s="19">
        <f>SUM(Y329:Y337)</f>
        <v>161883.27585999999</v>
      </c>
      <c r="Z339" s="19">
        <f>SUM(Z329:Z337)</f>
        <v>94636.894380000012</v>
      </c>
      <c r="AA339" s="19">
        <f>SUM(AA329:AA337)</f>
        <v>50692.867120000003</v>
      </c>
      <c r="AB339" s="19">
        <f>SUM(AB329:AB337)</f>
        <v>99175.077860000019</v>
      </c>
      <c r="AC339" s="19"/>
      <c r="AD339" s="19"/>
    </row>
    <row r="340" spans="1:30" x14ac:dyDescent="0.2">
      <c r="A340" s="18"/>
      <c r="D340" s="21" t="s">
        <v>57</v>
      </c>
      <c r="E340" s="21" t="s">
        <v>57</v>
      </c>
      <c r="F340" s="21" t="s">
        <v>57</v>
      </c>
      <c r="G340" s="21"/>
      <c r="H340" s="21" t="s">
        <v>57</v>
      </c>
      <c r="I340" s="21" t="s">
        <v>57</v>
      </c>
      <c r="J340" s="21" t="s">
        <v>57</v>
      </c>
      <c r="K340" s="21" t="s">
        <v>57</v>
      </c>
      <c r="L340" s="21" t="s">
        <v>57</v>
      </c>
      <c r="M340" s="21"/>
      <c r="N340" s="21" t="s">
        <v>57</v>
      </c>
      <c r="O340" s="21" t="s">
        <v>57</v>
      </c>
      <c r="P340" s="21" t="s">
        <v>57</v>
      </c>
      <c r="Q340" s="21"/>
      <c r="R340" s="21" t="s">
        <v>57</v>
      </c>
      <c r="S340" s="21" t="s">
        <v>57</v>
      </c>
      <c r="T340" s="21" t="s">
        <v>57</v>
      </c>
      <c r="U340" s="21" t="s">
        <v>57</v>
      </c>
      <c r="V340" s="21" t="s">
        <v>57</v>
      </c>
      <c r="W340" s="21"/>
      <c r="X340" s="21" t="s">
        <v>57</v>
      </c>
      <c r="Y340" s="21" t="s">
        <v>57</v>
      </c>
      <c r="Z340" s="21" t="s">
        <v>57</v>
      </c>
      <c r="AA340" s="21" t="s">
        <v>57</v>
      </c>
      <c r="AB340" s="21" t="s">
        <v>57</v>
      </c>
      <c r="AC340" s="21"/>
      <c r="AD340" s="21"/>
    </row>
    <row r="341" spans="1:30" x14ac:dyDescent="0.2">
      <c r="A341" s="18"/>
      <c r="D341" s="27"/>
      <c r="E341" s="28"/>
      <c r="F341" s="28"/>
      <c r="G341" s="11"/>
      <c r="H341" s="11"/>
      <c r="I341" s="28"/>
      <c r="J341" s="28"/>
      <c r="K341" s="28"/>
      <c r="L341" s="28"/>
      <c r="M341" s="28"/>
      <c r="N341" s="28"/>
      <c r="O341" s="27"/>
      <c r="P341" s="28"/>
      <c r="Q341" s="38"/>
      <c r="R341" s="38"/>
      <c r="S341" s="28"/>
      <c r="T341" s="28"/>
      <c r="U341" s="28"/>
      <c r="V341" s="38"/>
      <c r="W341" s="28"/>
      <c r="X341" s="28"/>
      <c r="Y341" s="28"/>
      <c r="Z341" s="21"/>
      <c r="AA341" s="21"/>
      <c r="AB341" s="21"/>
      <c r="AC341" s="21"/>
      <c r="AD341" s="21"/>
    </row>
    <row r="342" spans="1:30" x14ac:dyDescent="0.2">
      <c r="A342" s="18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1:30" x14ac:dyDescent="0.2">
      <c r="A343" s="18">
        <v>24</v>
      </c>
      <c r="B343" s="17" t="s">
        <v>174</v>
      </c>
      <c r="C343" s="17" t="s">
        <v>51</v>
      </c>
      <c r="D343" s="19">
        <f>254173/1000</f>
        <v>254.173</v>
      </c>
      <c r="E343" s="19">
        <f>[1]TOBEPAID!E264/1000</f>
        <v>0</v>
      </c>
      <c r="F343" s="19">
        <f>[1]TOBEPAID!F264/1000</f>
        <v>0</v>
      </c>
      <c r="G343" s="19">
        <f>[1]TOBEPAID!G264/1000</f>
        <v>0</v>
      </c>
      <c r="H343" s="19">
        <v>0</v>
      </c>
      <c r="I343" s="19">
        <f>[1]TOBEPAID!I264/1000</f>
        <v>0</v>
      </c>
      <c r="J343" s="19">
        <f>[1]TOBEPAID!J264/1000</f>
        <v>0</v>
      </c>
      <c r="K343" s="19">
        <f>[1]TOBEPAID!K264/1000</f>
        <v>0</v>
      </c>
      <c r="L343" s="19">
        <f>[1]TOBEPAID!L264/1000</f>
        <v>0</v>
      </c>
      <c r="M343" s="19">
        <f>[1]TOBEPAID!M264/1000</f>
        <v>0</v>
      </c>
      <c r="N343" s="19">
        <f>[1]TOBEPAID!N264/1000</f>
        <v>0</v>
      </c>
      <c r="O343" s="19">
        <f>[1]TOBEPAID!O264/1000</f>
        <v>0</v>
      </c>
      <c r="P343" s="19">
        <f>[1]TOBEPAID!P264/1000</f>
        <v>0</v>
      </c>
      <c r="Q343" s="19">
        <f>[1]TOBEPAID!Q264/1000</f>
        <v>0</v>
      </c>
      <c r="R343" s="19">
        <v>0</v>
      </c>
      <c r="S343" s="19">
        <f>[1]TOBEPAID!S264/1000</f>
        <v>0</v>
      </c>
      <c r="T343" s="19">
        <f>[1]TOBEPAID!T264/1000</f>
        <v>0</v>
      </c>
      <c r="U343" s="19">
        <f>[1]TOBEPAID!U264/1000</f>
        <v>0</v>
      </c>
      <c r="V343" s="19">
        <f>[1]TOBEPAID!V264/1000</f>
        <v>0</v>
      </c>
      <c r="W343" s="19">
        <f>[1]TOBEPAID!W264/1000</f>
        <v>0</v>
      </c>
      <c r="X343" s="19">
        <f>[1]TOBEPAID!X264/1000</f>
        <v>0</v>
      </c>
      <c r="Y343" s="19">
        <f>+H343+R343</f>
        <v>0</v>
      </c>
      <c r="Z343" s="19">
        <f t="shared" ref="Z343:Z348" si="56">+D343-Y343</f>
        <v>254.173</v>
      </c>
      <c r="AA343" s="19">
        <f>[1]TOBEPAID!AA264/1000</f>
        <v>0</v>
      </c>
      <c r="AB343" s="19">
        <f>[1]TOBEPAID!AB264/1000</f>
        <v>254.17354</v>
      </c>
      <c r="AC343" s="19"/>
      <c r="AD343" s="19"/>
    </row>
    <row r="344" spans="1:30" x14ac:dyDescent="0.2">
      <c r="A344" s="18"/>
      <c r="B344" s="17"/>
      <c r="C344" s="17" t="s">
        <v>161</v>
      </c>
      <c r="D344" s="19">
        <f>2500000/1000</f>
        <v>2500</v>
      </c>
      <c r="E344" s="19"/>
      <c r="F344" s="19"/>
      <c r="G344" s="19"/>
      <c r="H344" s="19">
        <f>2500000/1000</f>
        <v>2500</v>
      </c>
      <c r="I344" s="19"/>
      <c r="J344" s="19"/>
      <c r="K344" s="19"/>
      <c r="L344" s="19"/>
      <c r="M344" s="19"/>
      <c r="N344" s="19"/>
      <c r="O344" s="19"/>
      <c r="P344" s="19"/>
      <c r="Q344" s="19"/>
      <c r="R344" s="19">
        <v>0</v>
      </c>
      <c r="S344" s="19"/>
      <c r="T344" s="19"/>
      <c r="U344" s="19"/>
      <c r="V344" s="19"/>
      <c r="W344" s="19"/>
      <c r="X344" s="19"/>
      <c r="Y344" s="19">
        <f>+H344+R344</f>
        <v>2500</v>
      </c>
      <c r="Z344" s="19">
        <f t="shared" si="56"/>
        <v>0</v>
      </c>
      <c r="AA344" s="19"/>
      <c r="AB344" s="19"/>
      <c r="AC344" s="19"/>
      <c r="AD344" s="19"/>
    </row>
    <row r="345" spans="1:30" x14ac:dyDescent="0.2">
      <c r="A345" s="18"/>
      <c r="B345" s="17"/>
      <c r="C345" s="17" t="s">
        <v>63</v>
      </c>
      <c r="D345" s="19">
        <f>7166143/1000</f>
        <v>7166.143</v>
      </c>
      <c r="E345" s="19"/>
      <c r="F345" s="19"/>
      <c r="G345" s="19"/>
      <c r="H345" s="19">
        <f>7166143/1000</f>
        <v>7166.143</v>
      </c>
      <c r="I345" s="19"/>
      <c r="J345" s="19"/>
      <c r="K345" s="19"/>
      <c r="L345" s="19"/>
      <c r="M345" s="19"/>
      <c r="N345" s="19"/>
      <c r="O345" s="19"/>
      <c r="P345" s="19"/>
      <c r="Q345" s="19"/>
      <c r="R345" s="19">
        <v>0</v>
      </c>
      <c r="S345" s="19"/>
      <c r="T345" s="19"/>
      <c r="U345" s="19"/>
      <c r="V345" s="19"/>
      <c r="W345" s="19"/>
      <c r="X345" s="19"/>
      <c r="Y345" s="19">
        <f>+H345+R345</f>
        <v>7166.143</v>
      </c>
      <c r="Z345" s="19">
        <f t="shared" si="56"/>
        <v>0</v>
      </c>
      <c r="AA345" s="19"/>
      <c r="AB345" s="19"/>
      <c r="AC345" s="19"/>
      <c r="AD345" s="19"/>
    </row>
    <row r="346" spans="1:30" x14ac:dyDescent="0.2">
      <c r="A346" s="18"/>
      <c r="B346" s="17"/>
      <c r="C346" s="17" t="s">
        <v>175</v>
      </c>
      <c r="D346" s="19">
        <f>9960000/1000</f>
        <v>9960</v>
      </c>
      <c r="E346" s="19"/>
      <c r="F346" s="19"/>
      <c r="G346" s="19"/>
      <c r="H346" s="19">
        <f>9956003.29/1000</f>
        <v>9956.0032899999987</v>
      </c>
      <c r="I346" s="19"/>
      <c r="J346" s="19"/>
      <c r="K346" s="19"/>
      <c r="L346" s="19"/>
      <c r="M346" s="19"/>
      <c r="N346" s="19"/>
      <c r="O346" s="19"/>
      <c r="P346" s="19"/>
      <c r="Q346" s="19"/>
      <c r="R346" s="19">
        <v>0</v>
      </c>
      <c r="S346" s="19"/>
      <c r="T346" s="19"/>
      <c r="U346" s="19"/>
      <c r="V346" s="19"/>
      <c r="W346" s="19"/>
      <c r="X346" s="19"/>
      <c r="Y346" s="19">
        <f>+H346+R346</f>
        <v>9956.0032899999987</v>
      </c>
      <c r="Z346" s="19">
        <f t="shared" si="56"/>
        <v>3.9967100000012579</v>
      </c>
      <c r="AA346" s="19"/>
      <c r="AB346" s="19"/>
      <c r="AC346" s="19"/>
      <c r="AD346" s="19"/>
    </row>
    <row r="347" spans="1:30" x14ac:dyDescent="0.2">
      <c r="C347" s="3" t="s">
        <v>78</v>
      </c>
      <c r="D347" s="19">
        <f>3882200/1000</f>
        <v>3882.2</v>
      </c>
      <c r="E347" s="19">
        <f>[1]TOBEPAID!E265/1000</f>
        <v>3882.2</v>
      </c>
      <c r="F347" s="19">
        <f>[1]TOBEPAID!F265/1000</f>
        <v>0</v>
      </c>
      <c r="G347" s="19">
        <f>[1]TOBEPAID!G265/1000</f>
        <v>0</v>
      </c>
      <c r="H347" s="19">
        <f>3882200/1000</f>
        <v>3882.2</v>
      </c>
      <c r="I347" s="19">
        <f>[1]TOBEPAID!I265/1000</f>
        <v>0</v>
      </c>
      <c r="J347" s="19">
        <f>[1]TOBEPAID!J265/1000</f>
        <v>0</v>
      </c>
      <c r="K347" s="19">
        <f>[1]TOBEPAID!K265/1000</f>
        <v>0</v>
      </c>
      <c r="L347" s="19">
        <f>[1]TOBEPAID!L265/1000</f>
        <v>0</v>
      </c>
      <c r="M347" s="19">
        <f>[1]TOBEPAID!M265/1000</f>
        <v>0</v>
      </c>
      <c r="N347" s="19">
        <f>[1]TOBEPAID!N265/1000</f>
        <v>3882.2</v>
      </c>
      <c r="O347" s="19">
        <f>[1]TOBEPAID!O265/1000</f>
        <v>0</v>
      </c>
      <c r="P347" s="19">
        <f>[1]TOBEPAID!P265/1000</f>
        <v>0</v>
      </c>
      <c r="Q347" s="19">
        <f>[1]TOBEPAID!Q265/1000</f>
        <v>0</v>
      </c>
      <c r="R347" s="19">
        <v>0</v>
      </c>
      <c r="S347" s="19">
        <f>[1]TOBEPAID!S265/1000</f>
        <v>0</v>
      </c>
      <c r="T347" s="19">
        <f>[1]TOBEPAID!T265/1000</f>
        <v>0</v>
      </c>
      <c r="U347" s="19">
        <f>[1]TOBEPAID!U265/1000</f>
        <v>0</v>
      </c>
      <c r="V347" s="19">
        <f>[1]TOBEPAID!V265/1000</f>
        <v>0</v>
      </c>
      <c r="W347" s="19">
        <f>[1]TOBEPAID!W265/1000</f>
        <v>0</v>
      </c>
      <c r="X347" s="19">
        <f>[1]TOBEPAID!X265/1000</f>
        <v>0</v>
      </c>
      <c r="Y347" s="19">
        <f>[1]TOBEPAID!Y265/1000</f>
        <v>3882.2</v>
      </c>
      <c r="Z347" s="19">
        <f t="shared" si="56"/>
        <v>0</v>
      </c>
      <c r="AA347" s="19">
        <f>[1]TOBEPAID!AA265/1000</f>
        <v>3882.2</v>
      </c>
      <c r="AB347" s="19">
        <f>[1]TOBEPAID!AB265/1000</f>
        <v>0</v>
      </c>
      <c r="AC347" s="19"/>
      <c r="AD347" s="19"/>
    </row>
    <row r="348" spans="1:30" x14ac:dyDescent="0.2">
      <c r="A348" s="18"/>
      <c r="C348" s="54" t="s">
        <v>167</v>
      </c>
      <c r="D348" s="19">
        <f>2917000/1000</f>
        <v>2917</v>
      </c>
      <c r="E348" s="19">
        <f>[1]TOBEPAID!E266/1000</f>
        <v>2917</v>
      </c>
      <c r="F348" s="19">
        <f>[1]TOBEPAID!F266/1000</f>
        <v>0</v>
      </c>
      <c r="G348" s="19">
        <f>[1]TOBEPAID!G266/1000</f>
        <v>0</v>
      </c>
      <c r="H348" s="19">
        <f>2917000/1000</f>
        <v>2917</v>
      </c>
      <c r="I348" s="19">
        <f>[1]TOBEPAID!I266/1000</f>
        <v>0</v>
      </c>
      <c r="J348" s="19">
        <f>[1]TOBEPAID!J266/1000</f>
        <v>0</v>
      </c>
      <c r="K348" s="19">
        <f>[1]TOBEPAID!K266/1000</f>
        <v>0</v>
      </c>
      <c r="L348" s="19">
        <f>[1]TOBEPAID!L266/1000</f>
        <v>0</v>
      </c>
      <c r="M348" s="19">
        <f>[1]TOBEPAID!M266/1000</f>
        <v>0</v>
      </c>
      <c r="N348" s="19">
        <f>[1]TOBEPAID!N266/1000</f>
        <v>2917</v>
      </c>
      <c r="O348" s="19">
        <f>[1]TOBEPAID!O266/1000</f>
        <v>0</v>
      </c>
      <c r="P348" s="19">
        <f>[1]TOBEPAID!P266/1000</f>
        <v>0</v>
      </c>
      <c r="Q348" s="19">
        <f>[1]TOBEPAID!Q266/1000</f>
        <v>0</v>
      </c>
      <c r="R348" s="19">
        <v>0</v>
      </c>
      <c r="S348" s="19">
        <f>[1]TOBEPAID!S266/1000</f>
        <v>0</v>
      </c>
      <c r="T348" s="19">
        <f>[1]TOBEPAID!T266/1000</f>
        <v>0</v>
      </c>
      <c r="U348" s="19">
        <f>[1]TOBEPAID!U266/1000</f>
        <v>0</v>
      </c>
      <c r="V348" s="19">
        <f>[1]TOBEPAID!V266/1000</f>
        <v>0</v>
      </c>
      <c r="W348" s="19">
        <f>[1]TOBEPAID!W266/1000</f>
        <v>0</v>
      </c>
      <c r="X348" s="19">
        <f>[1]TOBEPAID!X266/1000</f>
        <v>0</v>
      </c>
      <c r="Y348" s="19">
        <f>[1]TOBEPAID!Y266/1000</f>
        <v>2917</v>
      </c>
      <c r="Z348" s="19">
        <f t="shared" si="56"/>
        <v>0</v>
      </c>
      <c r="AA348" s="19">
        <f>[1]TOBEPAID!AA266/1000</f>
        <v>2917</v>
      </c>
      <c r="AB348" s="19">
        <f>[1]TOBEPAID!AB266/1000</f>
        <v>0</v>
      </c>
      <c r="AC348" s="19"/>
      <c r="AD348" s="19"/>
    </row>
    <row r="349" spans="1:30" x14ac:dyDescent="0.2">
      <c r="A349" s="18"/>
      <c r="D349" s="21" t="s">
        <v>57</v>
      </c>
      <c r="E349" s="21" t="s">
        <v>57</v>
      </c>
      <c r="F349" s="21" t="s">
        <v>57</v>
      </c>
      <c r="G349" s="21"/>
      <c r="H349" s="21" t="s">
        <v>57</v>
      </c>
      <c r="I349" s="21" t="s">
        <v>57</v>
      </c>
      <c r="J349" s="21" t="s">
        <v>57</v>
      </c>
      <c r="K349" s="21" t="s">
        <v>57</v>
      </c>
      <c r="L349" s="21" t="s">
        <v>57</v>
      </c>
      <c r="M349" s="21"/>
      <c r="N349" s="21" t="s">
        <v>57</v>
      </c>
      <c r="O349" s="21" t="s">
        <v>57</v>
      </c>
      <c r="P349" s="21" t="s">
        <v>57</v>
      </c>
      <c r="Q349" s="21"/>
      <c r="R349" s="21" t="s">
        <v>57</v>
      </c>
      <c r="S349" s="21" t="s">
        <v>57</v>
      </c>
      <c r="T349" s="21" t="s">
        <v>57</v>
      </c>
      <c r="U349" s="21" t="s">
        <v>57</v>
      </c>
      <c r="V349" s="21" t="s">
        <v>57</v>
      </c>
      <c r="W349" s="21"/>
      <c r="X349" s="21" t="s">
        <v>57</v>
      </c>
      <c r="Y349" s="21" t="s">
        <v>57</v>
      </c>
      <c r="Z349" s="21" t="s">
        <v>57</v>
      </c>
      <c r="AA349" s="21" t="s">
        <v>57</v>
      </c>
      <c r="AB349" s="21" t="s">
        <v>57</v>
      </c>
      <c r="AC349" s="21"/>
      <c r="AD349" s="21"/>
    </row>
    <row r="350" spans="1:30" x14ac:dyDescent="0.2">
      <c r="A350" s="18"/>
      <c r="D350" s="19">
        <f>SUM(D343:D348)</f>
        <v>26679.516</v>
      </c>
      <c r="E350" s="19">
        <f t="shared" ref="E350:AB350" si="57">SUM(E343:E348)</f>
        <v>6799.2</v>
      </c>
      <c r="F350" s="19">
        <f t="shared" si="57"/>
        <v>0</v>
      </c>
      <c r="G350" s="19"/>
      <c r="H350" s="19">
        <f t="shared" si="57"/>
        <v>26421.346289999998</v>
      </c>
      <c r="I350" s="19">
        <f t="shared" si="57"/>
        <v>0</v>
      </c>
      <c r="J350" s="19">
        <f t="shared" si="57"/>
        <v>0</v>
      </c>
      <c r="K350" s="19">
        <f t="shared" si="57"/>
        <v>0</v>
      </c>
      <c r="L350" s="19">
        <f t="shared" si="57"/>
        <v>0</v>
      </c>
      <c r="M350" s="19"/>
      <c r="N350" s="19">
        <f t="shared" si="57"/>
        <v>6799.2</v>
      </c>
      <c r="O350" s="19">
        <f t="shared" si="57"/>
        <v>0</v>
      </c>
      <c r="P350" s="19">
        <f t="shared" si="57"/>
        <v>0</v>
      </c>
      <c r="Q350" s="19"/>
      <c r="R350" s="19">
        <f t="shared" si="57"/>
        <v>0</v>
      </c>
      <c r="S350" s="19">
        <f t="shared" si="57"/>
        <v>0</v>
      </c>
      <c r="T350" s="19">
        <f t="shared" si="57"/>
        <v>0</v>
      </c>
      <c r="U350" s="19">
        <f t="shared" si="57"/>
        <v>0</v>
      </c>
      <c r="V350" s="19">
        <f t="shared" si="57"/>
        <v>0</v>
      </c>
      <c r="W350" s="19"/>
      <c r="X350" s="19">
        <f t="shared" si="57"/>
        <v>0</v>
      </c>
      <c r="Y350" s="19">
        <f t="shared" si="57"/>
        <v>26421.346289999998</v>
      </c>
      <c r="Z350" s="19">
        <f t="shared" si="57"/>
        <v>258.16971000000126</v>
      </c>
      <c r="AA350" s="19">
        <f t="shared" si="57"/>
        <v>6799.2</v>
      </c>
      <c r="AB350" s="19">
        <f t="shared" si="57"/>
        <v>254.17354</v>
      </c>
      <c r="AC350" s="19"/>
      <c r="AD350" s="19"/>
    </row>
    <row r="351" spans="1:30" x14ac:dyDescent="0.2">
      <c r="A351" s="18"/>
      <c r="D351" s="21" t="s">
        <v>57</v>
      </c>
      <c r="E351" s="21" t="s">
        <v>57</v>
      </c>
      <c r="F351" s="21" t="s">
        <v>57</v>
      </c>
      <c r="G351" s="21"/>
      <c r="H351" s="21" t="s">
        <v>57</v>
      </c>
      <c r="I351" s="21" t="s">
        <v>57</v>
      </c>
      <c r="J351" s="21" t="s">
        <v>57</v>
      </c>
      <c r="K351" s="21" t="s">
        <v>57</v>
      </c>
      <c r="L351" s="21" t="s">
        <v>57</v>
      </c>
      <c r="M351" s="21"/>
      <c r="N351" s="21" t="s">
        <v>57</v>
      </c>
      <c r="O351" s="21" t="s">
        <v>57</v>
      </c>
      <c r="P351" s="21" t="s">
        <v>57</v>
      </c>
      <c r="Q351" s="21"/>
      <c r="R351" s="21" t="s">
        <v>57</v>
      </c>
      <c r="S351" s="21" t="s">
        <v>57</v>
      </c>
      <c r="T351" s="21" t="s">
        <v>57</v>
      </c>
      <c r="U351" s="21" t="s">
        <v>57</v>
      </c>
      <c r="V351" s="21" t="s">
        <v>57</v>
      </c>
      <c r="W351" s="21"/>
      <c r="X351" s="21" t="s">
        <v>57</v>
      </c>
      <c r="Y351" s="21" t="s">
        <v>57</v>
      </c>
      <c r="Z351" s="21" t="s">
        <v>57</v>
      </c>
      <c r="AA351" s="21" t="s">
        <v>57</v>
      </c>
      <c r="AB351" s="21" t="s">
        <v>57</v>
      </c>
      <c r="AC351" s="21"/>
      <c r="AD351" s="21"/>
    </row>
    <row r="352" spans="1:30" x14ac:dyDescent="0.2">
      <c r="A352" s="18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1:30" x14ac:dyDescent="0.2">
      <c r="A353" s="18">
        <v>25</v>
      </c>
      <c r="B353" s="17" t="s">
        <v>176</v>
      </c>
      <c r="C353" s="3" t="str">
        <f>+C343</f>
        <v>RURAL ELEC.</v>
      </c>
      <c r="D353" s="19">
        <f>6381629/1000</f>
        <v>6381.6289999999999</v>
      </c>
      <c r="E353" s="19">
        <f>[1]TOBEPAID!E271/1000</f>
        <v>0</v>
      </c>
      <c r="F353" s="19">
        <f>[1]TOBEPAID!F271/1000</f>
        <v>0</v>
      </c>
      <c r="G353" s="19">
        <f>[1]TOBEPAID!G271/1000</f>
        <v>0</v>
      </c>
      <c r="H353" s="19">
        <v>0</v>
      </c>
      <c r="I353" s="19">
        <f>[1]TOBEPAID!I271/1000</f>
        <v>0</v>
      </c>
      <c r="J353" s="19">
        <f>[1]TOBEPAID!J271/1000</f>
        <v>0</v>
      </c>
      <c r="K353" s="19">
        <f>[1]TOBEPAID!K271/1000</f>
        <v>0</v>
      </c>
      <c r="L353" s="19">
        <f>[1]TOBEPAID!L271/1000</f>
        <v>0</v>
      </c>
      <c r="M353" s="19">
        <f>[1]TOBEPAID!M271/1000</f>
        <v>0</v>
      </c>
      <c r="N353" s="19">
        <f>[1]TOBEPAID!N271/1000</f>
        <v>0</v>
      </c>
      <c r="O353" s="19">
        <f>[1]TOBEPAID!O271/1000</f>
        <v>6898.96443</v>
      </c>
      <c r="P353" s="19">
        <f>[1]TOBEPAID!P271/1000</f>
        <v>0</v>
      </c>
      <c r="Q353" s="19">
        <f>[1]TOBEPAID!Q271/1000</f>
        <v>0</v>
      </c>
      <c r="R353" s="19">
        <f>6898964/1000</f>
        <v>6898.9639999999999</v>
      </c>
      <c r="S353" s="19">
        <f>[1]TOBEPAID!S271/1000</f>
        <v>210.24659999999992</v>
      </c>
      <c r="T353" s="19">
        <f>[1]TOBEPAID!T271/1000</f>
        <v>210.2466</v>
      </c>
      <c r="U353" s="19">
        <f>[1]TOBEPAID!U271/1000</f>
        <v>0</v>
      </c>
      <c r="V353" s="19">
        <f>[1]TOBEPAID!V271/1000</f>
        <v>0</v>
      </c>
      <c r="W353" s="19">
        <f>[1]TOBEPAID!W271/1000</f>
        <v>0</v>
      </c>
      <c r="X353" s="19">
        <f>[1]TOBEPAID!X271/1000</f>
        <v>6898.96443</v>
      </c>
      <c r="Y353" s="19">
        <f t="shared" ref="Y353:Y359" si="58">+H353+R353</f>
        <v>6898.9639999999999</v>
      </c>
      <c r="Z353" s="19">
        <f t="shared" ref="Z353:Z359" si="59">+D353-Y353</f>
        <v>-517.33500000000004</v>
      </c>
      <c r="AA353" s="19">
        <f>[1]TOBEPAID!AA271/1000</f>
        <v>6898.96443</v>
      </c>
      <c r="AB353" s="19">
        <f>[1]TOBEPAID!AB271/1000</f>
        <v>-517.34499999999912</v>
      </c>
      <c r="AC353" s="3" t="s">
        <v>116</v>
      </c>
      <c r="AD353" s="19"/>
    </row>
    <row r="354" spans="1:30" x14ac:dyDescent="0.2">
      <c r="A354" s="18"/>
      <c r="B354" s="17"/>
      <c r="C354" s="17" t="s">
        <v>161</v>
      </c>
      <c r="D354" s="19">
        <f>12000000/1000</f>
        <v>12000</v>
      </c>
      <c r="E354" s="19"/>
      <c r="F354" s="19"/>
      <c r="G354" s="19"/>
      <c r="H354" s="19">
        <f>12000000/1000</f>
        <v>12000</v>
      </c>
      <c r="I354" s="19"/>
      <c r="J354" s="19"/>
      <c r="K354" s="19"/>
      <c r="L354" s="19"/>
      <c r="M354" s="19"/>
      <c r="N354" s="19"/>
      <c r="O354" s="19"/>
      <c r="P354" s="19"/>
      <c r="Q354" s="19"/>
      <c r="R354" s="19">
        <v>0</v>
      </c>
      <c r="S354" s="19"/>
      <c r="T354" s="19"/>
      <c r="U354" s="19"/>
      <c r="V354" s="19"/>
      <c r="W354" s="19"/>
      <c r="X354" s="19"/>
      <c r="Y354" s="19">
        <f t="shared" si="58"/>
        <v>12000</v>
      </c>
      <c r="Z354" s="19">
        <f t="shared" si="59"/>
        <v>0</v>
      </c>
      <c r="AA354" s="19"/>
      <c r="AB354" s="19"/>
      <c r="AD354" s="19"/>
    </row>
    <row r="355" spans="1:30" x14ac:dyDescent="0.2">
      <c r="A355" s="18"/>
      <c r="B355" s="17"/>
      <c r="C355" s="17" t="s">
        <v>110</v>
      </c>
      <c r="D355" s="19">
        <f>35000000/1000</f>
        <v>35000</v>
      </c>
      <c r="E355" s="19"/>
      <c r="F355" s="19"/>
      <c r="G355" s="19"/>
      <c r="H355" s="19">
        <f>35000000/1000</f>
        <v>35000</v>
      </c>
      <c r="I355" s="19"/>
      <c r="J355" s="19"/>
      <c r="K355" s="19"/>
      <c r="L355" s="19"/>
      <c r="M355" s="19"/>
      <c r="N355" s="19"/>
      <c r="O355" s="19"/>
      <c r="P355" s="19"/>
      <c r="Q355" s="19"/>
      <c r="R355" s="19">
        <v>0</v>
      </c>
      <c r="S355" s="19"/>
      <c r="T355" s="19"/>
      <c r="U355" s="19"/>
      <c r="V355" s="19"/>
      <c r="W355" s="19"/>
      <c r="X355" s="19"/>
      <c r="Y355" s="19">
        <f t="shared" si="58"/>
        <v>35000</v>
      </c>
      <c r="Z355" s="19">
        <f t="shared" si="59"/>
        <v>0</v>
      </c>
      <c r="AA355" s="19"/>
      <c r="AB355" s="19"/>
      <c r="AD355" s="19"/>
    </row>
    <row r="356" spans="1:30" x14ac:dyDescent="0.2">
      <c r="A356" s="18"/>
      <c r="B356" s="17"/>
      <c r="C356" s="17" t="s">
        <v>126</v>
      </c>
      <c r="D356" s="19">
        <f>115000000/1000</f>
        <v>115000</v>
      </c>
      <c r="E356" s="19"/>
      <c r="F356" s="19"/>
      <c r="G356" s="19"/>
      <c r="H356" s="19">
        <v>0</v>
      </c>
      <c r="I356" s="19"/>
      <c r="J356" s="19"/>
      <c r="K356" s="19"/>
      <c r="L356" s="19"/>
      <c r="M356" s="19"/>
      <c r="N356" s="19"/>
      <c r="O356" s="19"/>
      <c r="P356" s="19"/>
      <c r="Q356" s="19"/>
      <c r="R356" s="19">
        <v>0</v>
      </c>
      <c r="S356" s="19"/>
      <c r="T356" s="19"/>
      <c r="U356" s="19"/>
      <c r="V356" s="19"/>
      <c r="W356" s="19"/>
      <c r="X356" s="19"/>
      <c r="Y356" s="19">
        <f>+H356+R356</f>
        <v>0</v>
      </c>
      <c r="Z356" s="19">
        <f>+D356-Y356</f>
        <v>115000</v>
      </c>
      <c r="AA356" s="19"/>
      <c r="AB356" s="19"/>
      <c r="AD356" s="19"/>
    </row>
    <row r="357" spans="1:30" x14ac:dyDescent="0.2">
      <c r="A357" s="18"/>
      <c r="C357" s="20" t="s">
        <v>52</v>
      </c>
      <c r="D357" s="19">
        <f>2708365/1000</f>
        <v>2708.3649999999998</v>
      </c>
      <c r="E357" s="19">
        <f>[1]TOBEPAID!E272/1000</f>
        <v>2708.3659199999997</v>
      </c>
      <c r="F357" s="19">
        <f>[1]TOBEPAID!F272/1000</f>
        <v>0</v>
      </c>
      <c r="G357" s="19">
        <f>[1]TOBEPAID!G272/1000</f>
        <v>0</v>
      </c>
      <c r="H357" s="19">
        <f>2708365/1000</f>
        <v>2708.3649999999998</v>
      </c>
      <c r="I357" s="19">
        <f>[1]TOBEPAID!I272/1000</f>
        <v>0</v>
      </c>
      <c r="J357" s="19">
        <f>[1]TOBEPAID!J272/1000</f>
        <v>0</v>
      </c>
      <c r="K357" s="19">
        <f>[1]TOBEPAID!K272/1000</f>
        <v>0</v>
      </c>
      <c r="L357" s="19">
        <f>[1]TOBEPAID!L272/1000</f>
        <v>0</v>
      </c>
      <c r="M357" s="19">
        <f>[1]TOBEPAID!M272/1000</f>
        <v>0</v>
      </c>
      <c r="N357" s="19">
        <f>[1]TOBEPAID!N272/1000</f>
        <v>2708.3659199999997</v>
      </c>
      <c r="O357" s="19">
        <f>[1]TOBEPAID!O272/1000</f>
        <v>0</v>
      </c>
      <c r="P357" s="19">
        <f>[1]TOBEPAID!P272/1000</f>
        <v>0</v>
      </c>
      <c r="Q357" s="19">
        <f>[1]TOBEPAID!Q272/1000</f>
        <v>0</v>
      </c>
      <c r="R357" s="19">
        <v>0</v>
      </c>
      <c r="S357" s="19">
        <f>[1]TOBEPAID!S272/1000</f>
        <v>0</v>
      </c>
      <c r="T357" s="19">
        <f>[1]TOBEPAID!T272/1000</f>
        <v>0</v>
      </c>
      <c r="U357" s="19">
        <f>[1]TOBEPAID!U272/1000</f>
        <v>0</v>
      </c>
      <c r="V357" s="19">
        <f>[1]TOBEPAID!V272/1000</f>
        <v>0</v>
      </c>
      <c r="W357" s="19">
        <f>[1]TOBEPAID!W272/1000</f>
        <v>0</v>
      </c>
      <c r="X357" s="19">
        <f>[1]TOBEPAID!X272/1000</f>
        <v>0</v>
      </c>
      <c r="Y357" s="19">
        <f t="shared" si="58"/>
        <v>2708.3649999999998</v>
      </c>
      <c r="Z357" s="19">
        <f t="shared" si="59"/>
        <v>0</v>
      </c>
      <c r="AA357" s="19">
        <f>[1]TOBEPAID!AA272/1000</f>
        <v>2708.3659199999997</v>
      </c>
      <c r="AB357" s="19">
        <f>[1]TOBEPAID!AB272/1000</f>
        <v>0</v>
      </c>
      <c r="AC357" s="19"/>
      <c r="AD357" s="19"/>
    </row>
    <row r="358" spans="1:30" x14ac:dyDescent="0.2">
      <c r="A358" s="18"/>
      <c r="C358" s="20" t="s">
        <v>170</v>
      </c>
      <c r="D358" s="19">
        <f>49855000/1000</f>
        <v>49855</v>
      </c>
      <c r="E358" s="19">
        <f>[1]TOBEPAID!E273/1000</f>
        <v>49855</v>
      </c>
      <c r="F358" s="19">
        <f>[1]TOBEPAID!F273/1000</f>
        <v>0</v>
      </c>
      <c r="G358" s="19">
        <f>[1]TOBEPAID!G273/1000</f>
        <v>0</v>
      </c>
      <c r="H358" s="19">
        <f>49855000/1000</f>
        <v>49855</v>
      </c>
      <c r="I358" s="19">
        <f>[1]TOBEPAID!I273/1000</f>
        <v>0</v>
      </c>
      <c r="J358" s="19">
        <f>[1]TOBEPAID!J273/1000</f>
        <v>0</v>
      </c>
      <c r="K358" s="19">
        <f>[1]TOBEPAID!K273/1000</f>
        <v>0</v>
      </c>
      <c r="L358" s="19">
        <f>[1]TOBEPAID!L273/1000</f>
        <v>0</v>
      </c>
      <c r="M358" s="19">
        <f>[1]TOBEPAID!M273/1000</f>
        <v>0</v>
      </c>
      <c r="N358" s="19">
        <f>[1]TOBEPAID!N273/1000</f>
        <v>49855</v>
      </c>
      <c r="O358" s="19">
        <f>[1]TOBEPAID!O273/1000</f>
        <v>0</v>
      </c>
      <c r="P358" s="19">
        <f>[1]TOBEPAID!P273/1000</f>
        <v>0</v>
      </c>
      <c r="Q358" s="19">
        <f>[1]TOBEPAID!Q273/1000</f>
        <v>0</v>
      </c>
      <c r="R358" s="19">
        <v>0</v>
      </c>
      <c r="S358" s="19">
        <f>[1]TOBEPAID!S273/1000</f>
        <v>0</v>
      </c>
      <c r="T358" s="19">
        <f>[1]TOBEPAID!T273/1000</f>
        <v>0</v>
      </c>
      <c r="U358" s="19">
        <f>[1]TOBEPAID!U273/1000</f>
        <v>0</v>
      </c>
      <c r="V358" s="19">
        <f>[1]TOBEPAID!V273/1000</f>
        <v>0</v>
      </c>
      <c r="W358" s="19">
        <f>[1]TOBEPAID!W273/1000</f>
        <v>0</v>
      </c>
      <c r="X358" s="19">
        <f>[1]TOBEPAID!X273/1000</f>
        <v>0</v>
      </c>
      <c r="Y358" s="19">
        <f t="shared" si="58"/>
        <v>49855</v>
      </c>
      <c r="Z358" s="19">
        <f t="shared" si="59"/>
        <v>0</v>
      </c>
      <c r="AA358" s="19">
        <f>[1]TOBEPAID!AA273/1000</f>
        <v>49855</v>
      </c>
      <c r="AB358" s="19">
        <f>[1]TOBEPAID!AB273/1000</f>
        <v>0</v>
      </c>
      <c r="AC358" s="19"/>
      <c r="AD358" s="19"/>
    </row>
    <row r="359" spans="1:30" x14ac:dyDescent="0.2">
      <c r="A359" s="18"/>
      <c r="C359" s="20" t="s">
        <v>97</v>
      </c>
      <c r="D359" s="19">
        <f>10256792/1000</f>
        <v>10256.791999999999</v>
      </c>
      <c r="E359" s="19">
        <f>[1]TOBEPAID!E274/1000</f>
        <v>0</v>
      </c>
      <c r="F359" s="19">
        <f>[1]TOBEPAID!F274/1000</f>
        <v>0</v>
      </c>
      <c r="G359" s="19">
        <f>[1]TOBEPAID!G274/1000</f>
        <v>0</v>
      </c>
      <c r="H359" s="19">
        <v>0</v>
      </c>
      <c r="I359" s="19">
        <f>[1]TOBEPAID!I274/1000</f>
        <v>0</v>
      </c>
      <c r="J359" s="19">
        <f>[1]TOBEPAID!J274/1000</f>
        <v>0</v>
      </c>
      <c r="K359" s="19">
        <f>[1]TOBEPAID!K274/1000</f>
        <v>0</v>
      </c>
      <c r="L359" s="19">
        <f>[1]TOBEPAID!L274/1000</f>
        <v>0</v>
      </c>
      <c r="M359" s="19">
        <f>[1]TOBEPAID!M274/1000</f>
        <v>0</v>
      </c>
      <c r="N359" s="19">
        <f>[1]TOBEPAID!N274/1000</f>
        <v>0</v>
      </c>
      <c r="O359" s="19">
        <f>[1]TOBEPAID!O274/1000</f>
        <v>10256.79235</v>
      </c>
      <c r="P359" s="19">
        <f>[1]TOBEPAID!P274/1000</f>
        <v>0</v>
      </c>
      <c r="Q359" s="19">
        <f>[1]TOBEPAID!Q274/1000</f>
        <v>0</v>
      </c>
      <c r="R359" s="19">
        <f>10256792/1000</f>
        <v>10256.791999999999</v>
      </c>
      <c r="S359" s="19">
        <f>[1]TOBEPAID!S274/1000</f>
        <v>0</v>
      </c>
      <c r="T359" s="19">
        <f>[1]TOBEPAID!T274/1000</f>
        <v>0</v>
      </c>
      <c r="U359" s="19">
        <f>[1]TOBEPAID!U274/1000</f>
        <v>0</v>
      </c>
      <c r="V359" s="19">
        <f>[1]TOBEPAID!V274/1000</f>
        <v>0</v>
      </c>
      <c r="W359" s="19">
        <f>[1]TOBEPAID!W274/1000</f>
        <v>0</v>
      </c>
      <c r="X359" s="19">
        <f>[1]TOBEPAID!X274/1000</f>
        <v>10256.79235</v>
      </c>
      <c r="Y359" s="19">
        <f t="shared" si="58"/>
        <v>10256.791999999999</v>
      </c>
      <c r="Z359" s="19">
        <f t="shared" si="59"/>
        <v>0</v>
      </c>
      <c r="AA359" s="19">
        <f>[1]TOBEPAID!AA274/1000</f>
        <v>10256.79235</v>
      </c>
      <c r="AB359" s="19">
        <f>[1]TOBEPAID!AB274/1000</f>
        <v>0</v>
      </c>
      <c r="AC359" s="19"/>
      <c r="AD359" s="19"/>
    </row>
    <row r="360" spans="1:30" x14ac:dyDescent="0.2">
      <c r="A360" s="18"/>
      <c r="D360" s="21" t="s">
        <v>57</v>
      </c>
      <c r="E360" s="21" t="s">
        <v>57</v>
      </c>
      <c r="F360" s="21" t="s">
        <v>57</v>
      </c>
      <c r="G360" s="21"/>
      <c r="H360" s="21" t="s">
        <v>57</v>
      </c>
      <c r="I360" s="21" t="s">
        <v>57</v>
      </c>
      <c r="J360" s="21" t="s">
        <v>57</v>
      </c>
      <c r="K360" s="21" t="s">
        <v>57</v>
      </c>
      <c r="L360" s="21" t="s">
        <v>57</v>
      </c>
      <c r="M360" s="21"/>
      <c r="N360" s="21" t="s">
        <v>57</v>
      </c>
      <c r="O360" s="21" t="s">
        <v>57</v>
      </c>
      <c r="P360" s="21" t="s">
        <v>57</v>
      </c>
      <c r="Q360" s="21"/>
      <c r="R360" s="21" t="s">
        <v>57</v>
      </c>
      <c r="S360" s="21" t="s">
        <v>57</v>
      </c>
      <c r="T360" s="21" t="s">
        <v>57</v>
      </c>
      <c r="U360" s="21" t="s">
        <v>57</v>
      </c>
      <c r="V360" s="21" t="s">
        <v>57</v>
      </c>
      <c r="W360" s="21"/>
      <c r="X360" s="21" t="s">
        <v>57</v>
      </c>
      <c r="Y360" s="21" t="s">
        <v>57</v>
      </c>
      <c r="Z360" s="21" t="s">
        <v>57</v>
      </c>
      <c r="AA360" s="21" t="s">
        <v>57</v>
      </c>
      <c r="AB360" s="21" t="s">
        <v>57</v>
      </c>
      <c r="AC360" s="21"/>
      <c r="AD360" s="21"/>
    </row>
    <row r="361" spans="1:30" x14ac:dyDescent="0.2">
      <c r="A361" s="18"/>
      <c r="D361" s="19">
        <f t="shared" ref="D361:AB361" si="60">SUM(D353:D359)</f>
        <v>231201.78599999999</v>
      </c>
      <c r="E361" s="19">
        <f t="shared" si="60"/>
        <v>52563.365919999997</v>
      </c>
      <c r="F361" s="19">
        <f t="shared" si="60"/>
        <v>0</v>
      </c>
      <c r="G361" s="19"/>
      <c r="H361" s="19">
        <f t="shared" si="60"/>
        <v>99563.364999999991</v>
      </c>
      <c r="I361" s="19">
        <f t="shared" si="60"/>
        <v>0</v>
      </c>
      <c r="J361" s="19">
        <f t="shared" si="60"/>
        <v>0</v>
      </c>
      <c r="K361" s="19">
        <f t="shared" si="60"/>
        <v>0</v>
      </c>
      <c r="L361" s="19">
        <f t="shared" si="60"/>
        <v>0</v>
      </c>
      <c r="M361" s="19"/>
      <c r="N361" s="19">
        <f t="shared" si="60"/>
        <v>52563.365919999997</v>
      </c>
      <c r="O361" s="19">
        <f t="shared" si="60"/>
        <v>17155.75678</v>
      </c>
      <c r="P361" s="19">
        <f t="shared" si="60"/>
        <v>0</v>
      </c>
      <c r="Q361" s="19"/>
      <c r="R361" s="19">
        <f t="shared" si="60"/>
        <v>17155.756000000001</v>
      </c>
      <c r="S361" s="19">
        <f t="shared" si="60"/>
        <v>210.24659999999992</v>
      </c>
      <c r="T361" s="19">
        <f t="shared" si="60"/>
        <v>210.2466</v>
      </c>
      <c r="U361" s="19">
        <f t="shared" si="60"/>
        <v>0</v>
      </c>
      <c r="V361" s="19">
        <f t="shared" si="60"/>
        <v>0</v>
      </c>
      <c r="W361" s="19"/>
      <c r="X361" s="19">
        <f t="shared" si="60"/>
        <v>17155.75678</v>
      </c>
      <c r="Y361" s="19">
        <f t="shared" si="60"/>
        <v>116719.121</v>
      </c>
      <c r="Z361" s="19">
        <f t="shared" si="60"/>
        <v>114482.66499999999</v>
      </c>
      <c r="AA361" s="19">
        <f t="shared" si="60"/>
        <v>69719.122700000007</v>
      </c>
      <c r="AB361" s="19">
        <f t="shared" si="60"/>
        <v>-517.34499999999912</v>
      </c>
      <c r="AC361" s="19"/>
      <c r="AD361" s="19"/>
    </row>
    <row r="362" spans="1:30" x14ac:dyDescent="0.2">
      <c r="A362" s="18"/>
      <c r="D362" s="21" t="s">
        <v>57</v>
      </c>
      <c r="E362" s="21" t="s">
        <v>57</v>
      </c>
      <c r="F362" s="21" t="s">
        <v>57</v>
      </c>
      <c r="G362" s="21"/>
      <c r="H362" s="21" t="s">
        <v>57</v>
      </c>
      <c r="I362" s="21" t="s">
        <v>57</v>
      </c>
      <c r="J362" s="21" t="s">
        <v>57</v>
      </c>
      <c r="K362" s="21" t="s">
        <v>57</v>
      </c>
      <c r="L362" s="21" t="s">
        <v>57</v>
      </c>
      <c r="M362" s="21"/>
      <c r="N362" s="21" t="s">
        <v>57</v>
      </c>
      <c r="O362" s="21" t="s">
        <v>57</v>
      </c>
      <c r="P362" s="21" t="s">
        <v>57</v>
      </c>
      <c r="Q362" s="21"/>
      <c r="R362" s="21" t="s">
        <v>57</v>
      </c>
      <c r="S362" s="21" t="s">
        <v>57</v>
      </c>
      <c r="T362" s="21" t="s">
        <v>57</v>
      </c>
      <c r="U362" s="21" t="s">
        <v>57</v>
      </c>
      <c r="V362" s="21" t="s">
        <v>57</v>
      </c>
      <c r="W362" s="21"/>
      <c r="X362" s="21" t="s">
        <v>57</v>
      </c>
      <c r="Y362" s="21" t="s">
        <v>57</v>
      </c>
      <c r="Z362" s="21" t="s">
        <v>57</v>
      </c>
      <c r="AA362" s="21" t="s">
        <v>57</v>
      </c>
      <c r="AB362" s="21" t="s">
        <v>57</v>
      </c>
      <c r="AC362" s="21"/>
      <c r="AD362" s="21"/>
    </row>
    <row r="363" spans="1:30" ht="15.75" thickBot="1" x14ac:dyDescent="0.25">
      <c r="A363" s="18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55" t="s">
        <v>177</v>
      </c>
      <c r="Z363" s="56"/>
      <c r="AA363" s="21"/>
      <c r="AB363" s="21"/>
      <c r="AC363" s="21"/>
      <c r="AD363" s="21"/>
    </row>
    <row r="364" spans="1:30" ht="15.75" thickTop="1" x14ac:dyDescent="0.2">
      <c r="A364" s="18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7"/>
      <c r="AA364" s="21"/>
      <c r="AB364" s="21"/>
      <c r="AC364" s="21"/>
      <c r="AD364" s="21"/>
    </row>
    <row r="365" spans="1:30" x14ac:dyDescent="0.2"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</row>
    <row r="366" spans="1:30" x14ac:dyDescent="0.2">
      <c r="A366" s="18">
        <v>26</v>
      </c>
      <c r="B366" s="17" t="s">
        <v>178</v>
      </c>
      <c r="C366" s="17" t="s">
        <v>51</v>
      </c>
      <c r="D366" s="19">
        <f>63098747.54/1000</f>
        <v>63098.747539999997</v>
      </c>
      <c r="E366" s="19">
        <f>[1]TOBEPAID!E280/1000</f>
        <v>0</v>
      </c>
      <c r="F366" s="19">
        <f>[1]TOBEPAID!F280/1000</f>
        <v>0</v>
      </c>
      <c r="G366" s="19">
        <f>[1]TOBEPAID!G280/1000</f>
        <v>0</v>
      </c>
      <c r="H366" s="19">
        <f>63098747/1000</f>
        <v>63098.747000000003</v>
      </c>
      <c r="I366" s="19">
        <f>[1]TOBEPAID!I280/1000</f>
        <v>0</v>
      </c>
      <c r="J366" s="19">
        <f>[1]TOBEPAID!J280/1000</f>
        <v>0</v>
      </c>
      <c r="K366" s="19">
        <f>[1]TOBEPAID!K280/1000</f>
        <v>0</v>
      </c>
      <c r="L366" s="19">
        <f>[1]TOBEPAID!L280/1000</f>
        <v>0</v>
      </c>
      <c r="M366" s="19">
        <f>[1]TOBEPAID!M280/1000</f>
        <v>0</v>
      </c>
      <c r="N366" s="19">
        <f>[1]TOBEPAID!N280/1000</f>
        <v>0</v>
      </c>
      <c r="O366" s="19">
        <f>[1]TOBEPAID!O280/1000</f>
        <v>0</v>
      </c>
      <c r="P366" s="19">
        <f>[1]TOBEPAID!P280/1000</f>
        <v>0</v>
      </c>
      <c r="Q366" s="19">
        <f>[1]TOBEPAID!Q280/1000</f>
        <v>0</v>
      </c>
      <c r="R366" s="19">
        <f>84022/1000</f>
        <v>84.022000000000006</v>
      </c>
      <c r="S366" s="19">
        <f>[1]TOBEPAID!S280/1000</f>
        <v>0</v>
      </c>
      <c r="T366" s="19">
        <f>[1]TOBEPAID!T280/1000</f>
        <v>0</v>
      </c>
      <c r="U366" s="19">
        <f>[1]TOBEPAID!U280/1000</f>
        <v>0</v>
      </c>
      <c r="V366" s="19">
        <f>[1]TOBEPAID!V280/1000</f>
        <v>0</v>
      </c>
      <c r="W366" s="19">
        <f>[1]TOBEPAID!W280/1000</f>
        <v>0</v>
      </c>
      <c r="X366" s="19">
        <f>[1]TOBEPAID!X280/1000</f>
        <v>0</v>
      </c>
      <c r="Y366" s="19">
        <f>+H366+R366</f>
        <v>63182.769</v>
      </c>
      <c r="Z366" s="19">
        <f t="shared" ref="Z366:Z378" si="61">+D366-Y366</f>
        <v>-84.021460000003572</v>
      </c>
      <c r="AA366" s="19">
        <f>[1]TOBEPAID!AA280/1000</f>
        <v>0</v>
      </c>
      <c r="AB366" s="19">
        <f>[1]TOBEPAID!AB280/1000</f>
        <v>36481.759050000001</v>
      </c>
      <c r="AC366" s="19" t="s">
        <v>116</v>
      </c>
      <c r="AD366" s="19"/>
    </row>
    <row r="367" spans="1:30" x14ac:dyDescent="0.2">
      <c r="A367" s="18"/>
      <c r="B367" s="3" t="s">
        <v>179</v>
      </c>
      <c r="C367" s="20" t="s">
        <v>52</v>
      </c>
      <c r="D367" s="19">
        <f>[1]TOBEPAID!D281/1000</f>
        <v>1244.39624</v>
      </c>
      <c r="E367" s="19">
        <f>[1]TOBEPAID!E281/1000</f>
        <v>1244.39624</v>
      </c>
      <c r="F367" s="19">
        <f>[1]TOBEPAID!F281/1000</f>
        <v>0</v>
      </c>
      <c r="G367" s="19">
        <f>[1]TOBEPAID!G281/1000</f>
        <v>0</v>
      </c>
      <c r="H367" s="19">
        <f>1244396/1000</f>
        <v>1244.396</v>
      </c>
      <c r="I367" s="19">
        <f>[1]TOBEPAID!I281/1000</f>
        <v>0</v>
      </c>
      <c r="J367" s="19">
        <f>[1]TOBEPAID!J281/1000</f>
        <v>0</v>
      </c>
      <c r="K367" s="19">
        <f>[1]TOBEPAID!K281/1000</f>
        <v>0</v>
      </c>
      <c r="L367" s="19">
        <f>[1]TOBEPAID!L281/1000</f>
        <v>0</v>
      </c>
      <c r="M367" s="19">
        <f>[1]TOBEPAID!M281/1000</f>
        <v>0</v>
      </c>
      <c r="N367" s="19">
        <f>[1]TOBEPAID!N281/1000</f>
        <v>1244.39624</v>
      </c>
      <c r="O367" s="19">
        <f>[1]TOBEPAID!O281/1000</f>
        <v>0</v>
      </c>
      <c r="P367" s="19">
        <f>[1]TOBEPAID!P281/1000</f>
        <v>0</v>
      </c>
      <c r="Q367" s="19">
        <f>[1]TOBEPAID!Q281/1000</f>
        <v>0</v>
      </c>
      <c r="R367" s="19">
        <v>0</v>
      </c>
      <c r="S367" s="19">
        <f>[1]TOBEPAID!S281/1000</f>
        <v>0</v>
      </c>
      <c r="T367" s="19">
        <f>[1]TOBEPAID!T281/1000</f>
        <v>0</v>
      </c>
      <c r="U367" s="19">
        <f>[1]TOBEPAID!U281/1000</f>
        <v>0</v>
      </c>
      <c r="V367" s="19">
        <f>[1]TOBEPAID!V281/1000</f>
        <v>0</v>
      </c>
      <c r="W367" s="19">
        <f>[1]TOBEPAID!W281/1000</f>
        <v>0</v>
      </c>
      <c r="X367" s="19">
        <f>[1]TOBEPAID!X281/1000</f>
        <v>0</v>
      </c>
      <c r="Y367" s="19">
        <f t="shared" ref="Y367:Y378" si="62">+H367+R367</f>
        <v>1244.396</v>
      </c>
      <c r="Z367" s="19">
        <f t="shared" si="61"/>
        <v>2.4000000007617928E-4</v>
      </c>
      <c r="AA367" s="19">
        <f>[1]TOBEPAID!AA281/1000</f>
        <v>1244.39624</v>
      </c>
      <c r="AB367" s="19">
        <f>[1]TOBEPAID!AB281/1000</f>
        <v>0</v>
      </c>
      <c r="AC367" s="19"/>
      <c r="AD367" s="19"/>
    </row>
    <row r="368" spans="1:30" x14ac:dyDescent="0.2">
      <c r="A368" s="18"/>
      <c r="C368" s="20" t="s">
        <v>180</v>
      </c>
      <c r="D368" s="19">
        <f>151161000/1000</f>
        <v>151161</v>
      </c>
      <c r="E368" s="19"/>
      <c r="F368" s="19"/>
      <c r="G368" s="19"/>
      <c r="H368" s="19">
        <f>151161000/1000</f>
        <v>151161</v>
      </c>
      <c r="I368" s="19"/>
      <c r="J368" s="19"/>
      <c r="K368" s="19"/>
      <c r="L368" s="19"/>
      <c r="M368" s="19"/>
      <c r="N368" s="19"/>
      <c r="O368" s="19"/>
      <c r="P368" s="19"/>
      <c r="Q368" s="19"/>
      <c r="R368" s="19">
        <v>0</v>
      </c>
      <c r="S368" s="19"/>
      <c r="T368" s="19"/>
      <c r="U368" s="19"/>
      <c r="V368" s="19"/>
      <c r="W368" s="19"/>
      <c r="X368" s="19"/>
      <c r="Y368" s="19">
        <f t="shared" si="62"/>
        <v>151161</v>
      </c>
      <c r="Z368" s="19">
        <f t="shared" si="61"/>
        <v>0</v>
      </c>
      <c r="AA368" s="19"/>
      <c r="AB368" s="19"/>
      <c r="AC368" s="19"/>
      <c r="AD368" s="19"/>
    </row>
    <row r="369" spans="1:30" x14ac:dyDescent="0.2">
      <c r="A369" s="18"/>
      <c r="C369" s="20" t="s">
        <v>181</v>
      </c>
      <c r="D369" s="19">
        <f>250430000/1000</f>
        <v>250430</v>
      </c>
      <c r="E369" s="19"/>
      <c r="F369" s="19"/>
      <c r="G369" s="19"/>
      <c r="H369" s="19">
        <f>30008381.82/1000</f>
        <v>30008.381819999999</v>
      </c>
      <c r="I369" s="19"/>
      <c r="J369" s="19"/>
      <c r="K369" s="19"/>
      <c r="L369" s="19"/>
      <c r="M369" s="19"/>
      <c r="N369" s="19"/>
      <c r="O369" s="19"/>
      <c r="P369" s="19"/>
      <c r="Q369" s="19"/>
      <c r="R369" s="19">
        <v>0</v>
      </c>
      <c r="S369" s="19"/>
      <c r="T369" s="19"/>
      <c r="U369" s="19"/>
      <c r="V369" s="19"/>
      <c r="W369" s="19"/>
      <c r="X369" s="19"/>
      <c r="Y369" s="19">
        <f>+H369+R369</f>
        <v>30008.381819999999</v>
      </c>
      <c r="Z369" s="19">
        <f t="shared" si="61"/>
        <v>220421.61817999999</v>
      </c>
      <c r="AA369" s="19"/>
      <c r="AB369" s="19"/>
      <c r="AC369" s="19"/>
      <c r="AD369" s="19"/>
    </row>
    <row r="370" spans="1:30" x14ac:dyDescent="0.2">
      <c r="C370" s="3" t="s">
        <v>182</v>
      </c>
      <c r="D370" s="19">
        <v>0</v>
      </c>
      <c r="E370" s="19">
        <f>[1]TOBEPAID!E282/1000</f>
        <v>20000</v>
      </c>
      <c r="F370" s="19">
        <f>[1]TOBEPAID!F282/1000</f>
        <v>0</v>
      </c>
      <c r="G370" s="19">
        <f>[1]TOBEPAID!G282/1000</f>
        <v>0</v>
      </c>
      <c r="H370" s="19">
        <v>0</v>
      </c>
      <c r="I370" s="19">
        <f>[1]TOBEPAID!I282/1000</f>
        <v>0</v>
      </c>
      <c r="J370" s="19">
        <f>[1]TOBEPAID!J282/1000</f>
        <v>0</v>
      </c>
      <c r="K370" s="19">
        <f>[1]TOBEPAID!K282/1000</f>
        <v>0</v>
      </c>
      <c r="L370" s="19">
        <f>[1]TOBEPAID!L282/1000</f>
        <v>0</v>
      </c>
      <c r="M370" s="19">
        <f>[1]TOBEPAID!M282/1000</f>
        <v>0</v>
      </c>
      <c r="N370" s="19">
        <f>[1]TOBEPAID!N282/1000</f>
        <v>20000</v>
      </c>
      <c r="O370" s="19">
        <f>[1]TOBEPAID!O282/1000</f>
        <v>0</v>
      </c>
      <c r="P370" s="19">
        <f>[1]TOBEPAID!P282/1000</f>
        <v>0</v>
      </c>
      <c r="Q370" s="19">
        <f>[1]TOBEPAID!Q282/1000</f>
        <v>0</v>
      </c>
      <c r="R370" s="19">
        <v>0</v>
      </c>
      <c r="S370" s="19">
        <f>[1]TOBEPAID!S282/1000</f>
        <v>0</v>
      </c>
      <c r="T370" s="19">
        <f>[1]TOBEPAID!T282/1000</f>
        <v>0</v>
      </c>
      <c r="U370" s="19">
        <f>[1]TOBEPAID!U282/1000</f>
        <v>0</v>
      </c>
      <c r="V370" s="19">
        <f>[1]TOBEPAID!V282/1000</f>
        <v>0</v>
      </c>
      <c r="W370" s="19">
        <f>[1]TOBEPAID!W282/1000</f>
        <v>0</v>
      </c>
      <c r="X370" s="19">
        <f>[1]TOBEPAID!X282/1000</f>
        <v>0</v>
      </c>
      <c r="Y370" s="19">
        <f t="shared" si="62"/>
        <v>0</v>
      </c>
      <c r="Z370" s="19">
        <f t="shared" si="61"/>
        <v>0</v>
      </c>
      <c r="AA370" s="19">
        <f>[1]TOBEPAID!AA282/1000</f>
        <v>20000</v>
      </c>
      <c r="AB370" s="19">
        <f>[1]TOBEPAID!AB282/1000</f>
        <v>0</v>
      </c>
      <c r="AC370" s="19"/>
      <c r="AD370" s="19"/>
    </row>
    <row r="371" spans="1:30" x14ac:dyDescent="0.2">
      <c r="C371" s="3" t="s">
        <v>161</v>
      </c>
      <c r="D371" s="19">
        <f>4793000/1000</f>
        <v>4793</v>
      </c>
      <c r="E371" s="19"/>
      <c r="F371" s="19"/>
      <c r="G371" s="19"/>
      <c r="H371" s="19">
        <f>4793000/1000</f>
        <v>4793</v>
      </c>
      <c r="I371" s="19"/>
      <c r="J371" s="19"/>
      <c r="K371" s="19"/>
      <c r="L371" s="19"/>
      <c r="M371" s="19"/>
      <c r="N371" s="19"/>
      <c r="O371" s="19"/>
      <c r="P371" s="19"/>
      <c r="Q371" s="19"/>
      <c r="R371" s="19">
        <v>0</v>
      </c>
      <c r="S371" s="19"/>
      <c r="T371" s="19"/>
      <c r="U371" s="19"/>
      <c r="V371" s="19"/>
      <c r="W371" s="19"/>
      <c r="X371" s="19"/>
      <c r="Y371" s="19">
        <f t="shared" si="62"/>
        <v>4793</v>
      </c>
      <c r="Z371" s="19">
        <f t="shared" si="61"/>
        <v>0</v>
      </c>
      <c r="AA371" s="19"/>
      <c r="AB371" s="19"/>
      <c r="AC371" s="19"/>
      <c r="AD371" s="19"/>
    </row>
    <row r="372" spans="1:30" x14ac:dyDescent="0.2">
      <c r="C372" s="3" t="s">
        <v>53</v>
      </c>
      <c r="D372" s="19">
        <f>7841133/1000</f>
        <v>7841.1329999999998</v>
      </c>
      <c r="E372" s="19">
        <f>[1]TOBEPAID!E283/1000</f>
        <v>7841.1329999999998</v>
      </c>
      <c r="F372" s="19">
        <f>[1]TOBEPAID!F283/1000</f>
        <v>0</v>
      </c>
      <c r="G372" s="19">
        <f>[1]TOBEPAID!G283/1000</f>
        <v>0</v>
      </c>
      <c r="H372" s="19">
        <f>7841133/1000</f>
        <v>7841.1329999999998</v>
      </c>
      <c r="I372" s="19">
        <f>[1]TOBEPAID!I283/1000</f>
        <v>0</v>
      </c>
      <c r="J372" s="19">
        <f>[1]TOBEPAID!J283/1000</f>
        <v>0</v>
      </c>
      <c r="K372" s="19">
        <f>[1]TOBEPAID!K283/1000</f>
        <v>0</v>
      </c>
      <c r="L372" s="19">
        <f>[1]TOBEPAID!L283/1000</f>
        <v>0</v>
      </c>
      <c r="M372" s="19">
        <f>[1]TOBEPAID!M283/1000</f>
        <v>0</v>
      </c>
      <c r="N372" s="19">
        <f>[1]TOBEPAID!N283/1000</f>
        <v>7841.1329999999998</v>
      </c>
      <c r="O372" s="19">
        <f>[1]TOBEPAID!O283/1000</f>
        <v>0</v>
      </c>
      <c r="P372" s="19">
        <f>[1]TOBEPAID!P283/1000</f>
        <v>0</v>
      </c>
      <c r="Q372" s="19">
        <f>[1]TOBEPAID!Q283/1000</f>
        <v>0</v>
      </c>
      <c r="R372" s="19">
        <v>0</v>
      </c>
      <c r="S372" s="19">
        <f>[1]TOBEPAID!S283/1000</f>
        <v>0</v>
      </c>
      <c r="T372" s="19">
        <f>[1]TOBEPAID!T283/1000</f>
        <v>0</v>
      </c>
      <c r="U372" s="19">
        <f>[1]TOBEPAID!U283/1000</f>
        <v>0</v>
      </c>
      <c r="V372" s="19">
        <f>[1]TOBEPAID!V283/1000</f>
        <v>0</v>
      </c>
      <c r="W372" s="19">
        <f>[1]TOBEPAID!W283/1000</f>
        <v>0</v>
      </c>
      <c r="X372" s="19">
        <f>[1]TOBEPAID!X283/1000</f>
        <v>0</v>
      </c>
      <c r="Y372" s="19">
        <f t="shared" si="62"/>
        <v>7841.1329999999998</v>
      </c>
      <c r="Z372" s="19">
        <f t="shared" si="61"/>
        <v>0</v>
      </c>
      <c r="AA372" s="19">
        <f>[1]TOBEPAID!AA283/1000</f>
        <v>7841.1329999999998</v>
      </c>
      <c r="AB372" s="19">
        <f>[1]TOBEPAID!AB283/1000</f>
        <v>0</v>
      </c>
      <c r="AC372" s="19"/>
      <c r="AD372" s="19"/>
    </row>
    <row r="373" spans="1:30" x14ac:dyDescent="0.2">
      <c r="C373" s="3" t="s">
        <v>67</v>
      </c>
      <c r="D373" s="19">
        <f>917817185/1000</f>
        <v>917817.18500000006</v>
      </c>
      <c r="E373" s="19">
        <f>[1]TOBEPAID!E284/1000</f>
        <v>280000</v>
      </c>
      <c r="F373" s="19">
        <f>[1]TOBEPAID!F284/1000</f>
        <v>13160.93316</v>
      </c>
      <c r="G373" s="19">
        <f>[1]TOBEPAID!G284/1000</f>
        <v>0</v>
      </c>
      <c r="H373" s="19">
        <f>917817185/1000</f>
        <v>917817.18500000006</v>
      </c>
      <c r="I373" s="19">
        <f>[1]TOBEPAID!I284/1000</f>
        <v>0</v>
      </c>
      <c r="J373" s="19">
        <f>[1]TOBEPAID!J284/1000</f>
        <v>0</v>
      </c>
      <c r="K373" s="19">
        <f>[1]TOBEPAID!K284/1000</f>
        <v>0</v>
      </c>
      <c r="L373" s="19">
        <f>[1]TOBEPAID!L284/1000</f>
        <v>0</v>
      </c>
      <c r="M373" s="19">
        <f>[1]TOBEPAID!M284/1000</f>
        <v>0</v>
      </c>
      <c r="N373" s="19">
        <f>[1]TOBEPAID!N284/1000</f>
        <v>293160.93316000002</v>
      </c>
      <c r="O373" s="19">
        <f>[1]TOBEPAID!O284/1000</f>
        <v>0</v>
      </c>
      <c r="P373" s="19">
        <f>[1]TOBEPAID!P284/1000</f>
        <v>0</v>
      </c>
      <c r="Q373" s="19">
        <f>[1]TOBEPAID!Q284/1000</f>
        <v>0</v>
      </c>
      <c r="R373" s="19">
        <v>0</v>
      </c>
      <c r="S373" s="19">
        <f>[1]TOBEPAID!S284/1000</f>
        <v>0</v>
      </c>
      <c r="T373" s="19">
        <f>[1]TOBEPAID!T284/1000</f>
        <v>0</v>
      </c>
      <c r="U373" s="19">
        <f>[1]TOBEPAID!U284/1000</f>
        <v>0</v>
      </c>
      <c r="V373" s="19">
        <f>[1]TOBEPAID!V284/1000</f>
        <v>0</v>
      </c>
      <c r="W373" s="19">
        <f>[1]TOBEPAID!W284/1000</f>
        <v>0</v>
      </c>
      <c r="X373" s="19">
        <f>[1]TOBEPAID!X284/1000</f>
        <v>0</v>
      </c>
      <c r="Y373" s="19">
        <f t="shared" si="62"/>
        <v>917817.18500000006</v>
      </c>
      <c r="Z373" s="19">
        <f t="shared" si="61"/>
        <v>0</v>
      </c>
      <c r="AA373" s="19">
        <f>[1]TOBEPAID!AA284/1000</f>
        <v>293160.93316000002</v>
      </c>
      <c r="AB373" s="19">
        <f>[1]TOBEPAID!AB284/1000</f>
        <v>0</v>
      </c>
      <c r="AC373" s="19"/>
      <c r="AD373" s="19"/>
    </row>
    <row r="374" spans="1:30" x14ac:dyDescent="0.2">
      <c r="A374" s="18"/>
      <c r="C374" s="20" t="s">
        <v>70</v>
      </c>
      <c r="D374" s="19">
        <f>32258000/1000</f>
        <v>32258</v>
      </c>
      <c r="E374" s="19">
        <f>[1]TOBEPAID!E285/1000</f>
        <v>32258</v>
      </c>
      <c r="F374" s="19">
        <f>[1]TOBEPAID!F285/1000</f>
        <v>0</v>
      </c>
      <c r="G374" s="19">
        <f>[1]TOBEPAID!G285/1000</f>
        <v>0</v>
      </c>
      <c r="H374" s="19">
        <f>32258000/1000</f>
        <v>32258</v>
      </c>
      <c r="I374" s="19">
        <f>[1]TOBEPAID!I285/1000</f>
        <v>0</v>
      </c>
      <c r="J374" s="19">
        <f>[1]TOBEPAID!J285/1000</f>
        <v>0</v>
      </c>
      <c r="K374" s="19">
        <f>[1]TOBEPAID!K285/1000</f>
        <v>0</v>
      </c>
      <c r="L374" s="19">
        <f>[1]TOBEPAID!L285/1000</f>
        <v>0</v>
      </c>
      <c r="M374" s="19">
        <f>[1]TOBEPAID!M285/1000</f>
        <v>0</v>
      </c>
      <c r="N374" s="19">
        <f>[1]TOBEPAID!N285/1000</f>
        <v>32258</v>
      </c>
      <c r="O374" s="19">
        <f>[1]TOBEPAID!O285/1000</f>
        <v>0</v>
      </c>
      <c r="P374" s="19">
        <f>[1]TOBEPAID!P285/1000</f>
        <v>0</v>
      </c>
      <c r="Q374" s="19">
        <f>[1]TOBEPAID!Q285/1000</f>
        <v>0</v>
      </c>
      <c r="R374" s="19">
        <v>0</v>
      </c>
      <c r="S374" s="19">
        <f>[1]TOBEPAID!S285/1000</f>
        <v>0</v>
      </c>
      <c r="T374" s="19">
        <f>[1]TOBEPAID!T285/1000</f>
        <v>0</v>
      </c>
      <c r="U374" s="19">
        <f>[1]TOBEPAID!U285/1000</f>
        <v>0</v>
      </c>
      <c r="V374" s="19">
        <f>[1]TOBEPAID!V285/1000</f>
        <v>0</v>
      </c>
      <c r="W374" s="19">
        <f>[1]TOBEPAID!W285/1000</f>
        <v>0</v>
      </c>
      <c r="X374" s="19">
        <f>[1]TOBEPAID!X285/1000</f>
        <v>0</v>
      </c>
      <c r="Y374" s="19">
        <f t="shared" si="62"/>
        <v>32258</v>
      </c>
      <c r="Z374" s="19">
        <f t="shared" si="61"/>
        <v>0</v>
      </c>
      <c r="AA374" s="19">
        <f>[1]TOBEPAID!AA285/1000</f>
        <v>32258</v>
      </c>
      <c r="AB374" s="19">
        <f>[1]TOBEPAID!AB285/1000</f>
        <v>0</v>
      </c>
      <c r="AC374" s="19"/>
      <c r="AD374" s="19"/>
    </row>
    <row r="375" spans="1:30" x14ac:dyDescent="0.2">
      <c r="A375" s="18"/>
      <c r="C375" s="20" t="s">
        <v>81</v>
      </c>
      <c r="D375" s="19">
        <f>966136/1000</f>
        <v>966.13599999999997</v>
      </c>
      <c r="E375" s="19">
        <f>[1]TOBEPAID!E286/1000</f>
        <v>966.13601000000006</v>
      </c>
      <c r="F375" s="19">
        <f>[1]TOBEPAID!F286/1000</f>
        <v>0</v>
      </c>
      <c r="G375" s="19">
        <f>[1]TOBEPAID!G286/1000</f>
        <v>0</v>
      </c>
      <c r="H375" s="19">
        <f>966136/1000</f>
        <v>966.13599999999997</v>
      </c>
      <c r="I375" s="19">
        <f>[1]TOBEPAID!I286/1000</f>
        <v>0</v>
      </c>
      <c r="J375" s="19">
        <f>[1]TOBEPAID!J286/1000</f>
        <v>0</v>
      </c>
      <c r="K375" s="19">
        <f>[1]TOBEPAID!K286/1000</f>
        <v>0</v>
      </c>
      <c r="L375" s="19">
        <f>[1]TOBEPAID!L286/1000</f>
        <v>0</v>
      </c>
      <c r="M375" s="19">
        <f>[1]TOBEPAID!M286/1000</f>
        <v>0</v>
      </c>
      <c r="N375" s="19">
        <f>[1]TOBEPAID!N286/1000</f>
        <v>966.13601000000006</v>
      </c>
      <c r="O375" s="19">
        <f>[1]TOBEPAID!O286/1000</f>
        <v>0</v>
      </c>
      <c r="P375" s="19">
        <f>[1]TOBEPAID!P286/1000</f>
        <v>0</v>
      </c>
      <c r="Q375" s="19">
        <f>[1]TOBEPAID!Q286/1000</f>
        <v>0</v>
      </c>
      <c r="R375" s="19">
        <v>0</v>
      </c>
      <c r="S375" s="19">
        <f>[1]TOBEPAID!S286/1000</f>
        <v>0</v>
      </c>
      <c r="T375" s="19">
        <f>[1]TOBEPAID!T286/1000</f>
        <v>0</v>
      </c>
      <c r="U375" s="19">
        <f>[1]TOBEPAID!U286/1000</f>
        <v>0</v>
      </c>
      <c r="V375" s="19">
        <f>[1]TOBEPAID!V286/1000</f>
        <v>0</v>
      </c>
      <c r="W375" s="19">
        <f>[1]TOBEPAID!W286/1000</f>
        <v>0</v>
      </c>
      <c r="X375" s="19">
        <f>[1]TOBEPAID!X286/1000</f>
        <v>0</v>
      </c>
      <c r="Y375" s="19">
        <f t="shared" si="62"/>
        <v>966.13599999999997</v>
      </c>
      <c r="Z375" s="19">
        <f t="shared" si="61"/>
        <v>0</v>
      </c>
      <c r="AA375" s="19">
        <f>[1]TOBEPAID!AA286/1000</f>
        <v>966.13601000000006</v>
      </c>
      <c r="AB375" s="19">
        <f>[1]TOBEPAID!AB286/1000</f>
        <v>0</v>
      </c>
      <c r="AC375" s="19"/>
      <c r="AD375" s="19"/>
    </row>
    <row r="376" spans="1:30" x14ac:dyDescent="0.2">
      <c r="A376" s="18"/>
      <c r="C376" s="17" t="s">
        <v>96</v>
      </c>
      <c r="D376" s="19">
        <f>25070595/1000</f>
        <v>25070.595000000001</v>
      </c>
      <c r="E376" s="19">
        <f>[1]TOBEPAID!E287/1000</f>
        <v>0</v>
      </c>
      <c r="F376" s="19">
        <f>[1]TOBEPAID!F287/1000</f>
        <v>0</v>
      </c>
      <c r="G376" s="19">
        <f>[1]TOBEPAID!G287/1000</f>
        <v>0</v>
      </c>
      <c r="H376" s="19">
        <v>0</v>
      </c>
      <c r="I376" s="19">
        <f>[1]TOBEPAID!I287/1000</f>
        <v>0</v>
      </c>
      <c r="J376" s="19">
        <f>[1]TOBEPAID!J287/1000</f>
        <v>0</v>
      </c>
      <c r="K376" s="19">
        <f>[1]TOBEPAID!K287/1000</f>
        <v>0</v>
      </c>
      <c r="L376" s="19">
        <f>[1]TOBEPAID!L287/1000</f>
        <v>0</v>
      </c>
      <c r="M376" s="19">
        <f>[1]TOBEPAID!M287/1000</f>
        <v>0</v>
      </c>
      <c r="N376" s="19">
        <f>[1]TOBEPAID!N287/1000</f>
        <v>0</v>
      </c>
      <c r="O376" s="19">
        <f>[1]TOBEPAID!O287/1000</f>
        <v>25070.595559999998</v>
      </c>
      <c r="P376" s="19">
        <f>[1]TOBEPAID!P287/1000</f>
        <v>0</v>
      </c>
      <c r="Q376" s="19">
        <f>[1]TOBEPAID!Q287/1000</f>
        <v>0</v>
      </c>
      <c r="R376" s="19">
        <f>25070595/1000</f>
        <v>25070.595000000001</v>
      </c>
      <c r="S376" s="19">
        <f>[1]TOBEPAID!S287/1000</f>
        <v>0</v>
      </c>
      <c r="T376" s="19">
        <f>[1]TOBEPAID!T287/1000</f>
        <v>0</v>
      </c>
      <c r="U376" s="19">
        <f>[1]TOBEPAID!U287/1000</f>
        <v>0</v>
      </c>
      <c r="V376" s="19">
        <f>[1]TOBEPAID!V287/1000</f>
        <v>0</v>
      </c>
      <c r="W376" s="19">
        <f>[1]TOBEPAID!W287/1000</f>
        <v>0</v>
      </c>
      <c r="X376" s="19">
        <f>[1]TOBEPAID!X287/1000</f>
        <v>25070.595559999998</v>
      </c>
      <c r="Y376" s="19">
        <f t="shared" si="62"/>
        <v>25070.595000000001</v>
      </c>
      <c r="Z376" s="19">
        <f t="shared" si="61"/>
        <v>0</v>
      </c>
      <c r="AA376" s="19">
        <f>[1]TOBEPAID!AA287/1000</f>
        <v>25070.595559999998</v>
      </c>
      <c r="AB376" s="19">
        <f>[1]TOBEPAID!AB287/1000</f>
        <v>31409.988490000007</v>
      </c>
      <c r="AC376" s="19"/>
      <c r="AD376" s="19"/>
    </row>
    <row r="377" spans="1:30" x14ac:dyDescent="0.2">
      <c r="A377" s="18"/>
      <c r="C377" s="17" t="s">
        <v>97</v>
      </c>
      <c r="D377" s="19">
        <f>15796629/1000</f>
        <v>15796.629000000001</v>
      </c>
      <c r="E377" s="19">
        <f>[1]TOBEPAID!E288/1000</f>
        <v>0</v>
      </c>
      <c r="F377" s="19">
        <f>[1]TOBEPAID!F288/1000</f>
        <v>0</v>
      </c>
      <c r="G377" s="19">
        <f>[1]TOBEPAID!G288/1000</f>
        <v>0</v>
      </c>
      <c r="H377" s="19">
        <f>[1]TOBEPAID!H288/1000</f>
        <v>0</v>
      </c>
      <c r="I377" s="19">
        <f>[1]TOBEPAID!I288/1000</f>
        <v>0</v>
      </c>
      <c r="J377" s="19">
        <f>[1]TOBEPAID!J288/1000</f>
        <v>0</v>
      </c>
      <c r="K377" s="19">
        <f>[1]TOBEPAID!K288/1000</f>
        <v>0</v>
      </c>
      <c r="L377" s="19">
        <f>[1]TOBEPAID!L288/1000</f>
        <v>0</v>
      </c>
      <c r="M377" s="19">
        <f>[1]TOBEPAID!M288/1000</f>
        <v>0</v>
      </c>
      <c r="N377" s="19">
        <f>[1]TOBEPAID!N288/1000</f>
        <v>0</v>
      </c>
      <c r="O377" s="19">
        <f>[1]TOBEPAID!O288/1000</f>
        <v>15796.629800000001</v>
      </c>
      <c r="P377" s="19">
        <f>[1]TOBEPAID!P288/1000</f>
        <v>0</v>
      </c>
      <c r="Q377" s="19">
        <f>[1]TOBEPAID!Q288/1000</f>
        <v>0</v>
      </c>
      <c r="R377" s="19">
        <f>15796629/1000</f>
        <v>15796.629000000001</v>
      </c>
      <c r="S377" s="19">
        <f>[1]TOBEPAID!S288/1000</f>
        <v>0</v>
      </c>
      <c r="T377" s="19">
        <f>[1]TOBEPAID!T288/1000</f>
        <v>0</v>
      </c>
      <c r="U377" s="19">
        <f>[1]TOBEPAID!U288/1000</f>
        <v>0</v>
      </c>
      <c r="V377" s="19">
        <f>[1]TOBEPAID!V288/1000</f>
        <v>0</v>
      </c>
      <c r="W377" s="19">
        <f>[1]TOBEPAID!W288/1000</f>
        <v>0</v>
      </c>
      <c r="X377" s="19">
        <f>[1]TOBEPAID!X288/1000</f>
        <v>15796.629800000001</v>
      </c>
      <c r="Y377" s="19">
        <f t="shared" si="62"/>
        <v>15796.629000000001</v>
      </c>
      <c r="Z377" s="19">
        <f t="shared" si="61"/>
        <v>0</v>
      </c>
      <c r="AA377" s="19">
        <f>[1]TOBEPAID!AA288/1000</f>
        <v>15796.629800000001</v>
      </c>
      <c r="AB377" s="19">
        <f>[1]TOBEPAID!AB288/1000</f>
        <v>0</v>
      </c>
      <c r="AC377" s="19"/>
      <c r="AD377" s="19"/>
    </row>
    <row r="378" spans="1:30" x14ac:dyDescent="0.2">
      <c r="A378" s="18"/>
      <c r="C378" s="17" t="s">
        <v>183</v>
      </c>
      <c r="D378" s="19">
        <f>837838/1000</f>
        <v>837.83799999999997</v>
      </c>
      <c r="E378" s="19">
        <f>[1]TOBEPAID!E289/1000</f>
        <v>837.83857</v>
      </c>
      <c r="F378" s="19">
        <f>[1]TOBEPAID!F289/1000</f>
        <v>0</v>
      </c>
      <c r="G378" s="19">
        <f>[1]TOBEPAID!G289/1000</f>
        <v>0</v>
      </c>
      <c r="H378" s="19">
        <f>[1]TOBEPAID!H289/1000</f>
        <v>837.83857</v>
      </c>
      <c r="I378" s="19">
        <f>[1]TOBEPAID!I289/1000</f>
        <v>0</v>
      </c>
      <c r="J378" s="19">
        <f>[1]TOBEPAID!J289/1000</f>
        <v>0</v>
      </c>
      <c r="K378" s="19">
        <f>[1]TOBEPAID!K289/1000</f>
        <v>0</v>
      </c>
      <c r="L378" s="19">
        <f>[1]TOBEPAID!L289/1000</f>
        <v>0</v>
      </c>
      <c r="M378" s="19">
        <f>[1]TOBEPAID!M289/1000</f>
        <v>0</v>
      </c>
      <c r="N378" s="19">
        <f>[1]TOBEPAID!N289/1000</f>
        <v>837.83857</v>
      </c>
      <c r="O378" s="19">
        <f>[1]TOBEPAID!O289/1000</f>
        <v>0</v>
      </c>
      <c r="P378" s="19">
        <f>[1]TOBEPAID!P289/1000</f>
        <v>0</v>
      </c>
      <c r="Q378" s="19">
        <f>[1]TOBEPAID!Q289/1000</f>
        <v>0</v>
      </c>
      <c r="R378" s="19">
        <v>0</v>
      </c>
      <c r="S378" s="19">
        <f>[1]TOBEPAID!S289/1000</f>
        <v>0</v>
      </c>
      <c r="T378" s="19">
        <f>[1]TOBEPAID!T289/1000</f>
        <v>0</v>
      </c>
      <c r="U378" s="19">
        <f>[1]TOBEPAID!U289/1000</f>
        <v>0</v>
      </c>
      <c r="V378" s="19">
        <f>[1]TOBEPAID!V289/1000</f>
        <v>0</v>
      </c>
      <c r="W378" s="19">
        <f>[1]TOBEPAID!W289/1000</f>
        <v>0</v>
      </c>
      <c r="X378" s="19">
        <f>[1]TOBEPAID!X289/1000</f>
        <v>0</v>
      </c>
      <c r="Y378" s="19">
        <f t="shared" si="62"/>
        <v>837.83857</v>
      </c>
      <c r="Z378" s="19">
        <f t="shared" si="61"/>
        <v>-5.7000000003881723E-4</v>
      </c>
      <c r="AA378" s="19">
        <f>[1]TOBEPAID!AA289/1000</f>
        <v>837.83857</v>
      </c>
      <c r="AB378" s="19">
        <f>[1]TOBEPAID!AB289/1000</f>
        <v>0</v>
      </c>
      <c r="AC378" s="19"/>
      <c r="AD378" s="19"/>
    </row>
    <row r="379" spans="1:30" x14ac:dyDescent="0.2">
      <c r="A379" s="18"/>
      <c r="D379" s="21" t="s">
        <v>57</v>
      </c>
      <c r="E379" s="21" t="s">
        <v>57</v>
      </c>
      <c r="F379" s="21" t="s">
        <v>57</v>
      </c>
      <c r="G379" s="21"/>
      <c r="H379" s="21" t="s">
        <v>57</v>
      </c>
      <c r="I379" s="21" t="s">
        <v>57</v>
      </c>
      <c r="J379" s="21" t="s">
        <v>57</v>
      </c>
      <c r="K379" s="21" t="s">
        <v>57</v>
      </c>
      <c r="L379" s="21" t="s">
        <v>57</v>
      </c>
      <c r="M379" s="21"/>
      <c r="N379" s="21" t="s">
        <v>57</v>
      </c>
      <c r="O379" s="21" t="s">
        <v>57</v>
      </c>
      <c r="P379" s="21" t="s">
        <v>57</v>
      </c>
      <c r="Q379" s="21"/>
      <c r="R379" s="21" t="s">
        <v>57</v>
      </c>
      <c r="S379" s="21" t="s">
        <v>57</v>
      </c>
      <c r="T379" s="21" t="s">
        <v>57</v>
      </c>
      <c r="U379" s="21" t="s">
        <v>57</v>
      </c>
      <c r="V379" s="21" t="s">
        <v>57</v>
      </c>
      <c r="W379" s="21"/>
      <c r="X379" s="21" t="s">
        <v>57</v>
      </c>
      <c r="Y379" s="21" t="s">
        <v>57</v>
      </c>
      <c r="Z379" s="21" t="s">
        <v>57</v>
      </c>
      <c r="AA379" s="21" t="s">
        <v>57</v>
      </c>
      <c r="AB379" s="21" t="s">
        <v>57</v>
      </c>
      <c r="AC379" s="21"/>
      <c r="AD379" s="21"/>
    </row>
    <row r="380" spans="1:30" x14ac:dyDescent="0.2">
      <c r="A380" s="18"/>
      <c r="D380" s="19">
        <f>SUM(D366:D378)</f>
        <v>1471314.6597799999</v>
      </c>
      <c r="E380" s="19">
        <f>SUM(E366:E378)</f>
        <v>343147.50382000004</v>
      </c>
      <c r="F380" s="19">
        <f>SUM(F366:F378)</f>
        <v>13160.93316</v>
      </c>
      <c r="G380" s="19"/>
      <c r="H380" s="19">
        <f>SUM(H366:H378)</f>
        <v>1210025.81739</v>
      </c>
      <c r="I380" s="19">
        <f>SUM(I366:I378)</f>
        <v>0</v>
      </c>
      <c r="J380" s="19">
        <f>SUM(J366:J378)</f>
        <v>0</v>
      </c>
      <c r="K380" s="19">
        <f>SUM(K366:K378)</f>
        <v>0</v>
      </c>
      <c r="L380" s="19">
        <f>SUM(L366:L378)</f>
        <v>0</v>
      </c>
      <c r="M380" s="19"/>
      <c r="N380" s="19">
        <f>SUM(N366:N378)</f>
        <v>356308.43698000006</v>
      </c>
      <c r="O380" s="19">
        <f>SUM(O366:O378)</f>
        <v>40867.225359999997</v>
      </c>
      <c r="P380" s="19">
        <f>SUM(P366:P378)</f>
        <v>0</v>
      </c>
      <c r="Q380" s="19"/>
      <c r="R380" s="19">
        <f>SUM(R366:R378)</f>
        <v>40951.245999999999</v>
      </c>
      <c r="S380" s="19">
        <f>SUM(S366:S378)</f>
        <v>0</v>
      </c>
      <c r="T380" s="19">
        <f>SUM(T366:T378)</f>
        <v>0</v>
      </c>
      <c r="U380" s="19">
        <f>SUM(U366:U378)</f>
        <v>0</v>
      </c>
      <c r="V380" s="19">
        <f>SUM(V366:V378)</f>
        <v>0</v>
      </c>
      <c r="W380" s="19"/>
      <c r="X380" s="19">
        <f>SUM(X366:X378)</f>
        <v>40867.225359999997</v>
      </c>
      <c r="Y380" s="19">
        <f>SUM(Y366:Y378)</f>
        <v>1250977.0633899998</v>
      </c>
      <c r="Z380" s="19">
        <f>SUM(Z366:Z378)</f>
        <v>220337.59638999999</v>
      </c>
      <c r="AA380" s="19">
        <f>SUM(AA366:AA378)</f>
        <v>397175.66234000004</v>
      </c>
      <c r="AB380" s="19">
        <f>SUM(AB366:AB378)</f>
        <v>67891.747540000011</v>
      </c>
      <c r="AC380" s="19"/>
      <c r="AD380" s="19"/>
    </row>
    <row r="381" spans="1:30" x14ac:dyDescent="0.2">
      <c r="A381" s="18"/>
      <c r="D381" s="21" t="s">
        <v>57</v>
      </c>
      <c r="E381" s="21" t="s">
        <v>57</v>
      </c>
      <c r="F381" s="21" t="s">
        <v>57</v>
      </c>
      <c r="G381" s="21"/>
      <c r="H381" s="21" t="s">
        <v>57</v>
      </c>
      <c r="I381" s="21" t="s">
        <v>57</v>
      </c>
      <c r="J381" s="21" t="s">
        <v>57</v>
      </c>
      <c r="K381" s="21" t="s">
        <v>57</v>
      </c>
      <c r="L381" s="21" t="s">
        <v>57</v>
      </c>
      <c r="M381" s="21"/>
      <c r="N381" s="21" t="s">
        <v>57</v>
      </c>
      <c r="O381" s="21" t="s">
        <v>57</v>
      </c>
      <c r="P381" s="21" t="s">
        <v>57</v>
      </c>
      <c r="Q381" s="21"/>
      <c r="R381" s="21" t="s">
        <v>57</v>
      </c>
      <c r="S381" s="21" t="s">
        <v>57</v>
      </c>
      <c r="T381" s="21" t="s">
        <v>57</v>
      </c>
      <c r="U381" s="21" t="s">
        <v>57</v>
      </c>
      <c r="V381" s="21" t="s">
        <v>57</v>
      </c>
      <c r="W381" s="21"/>
      <c r="X381" s="21" t="s">
        <v>57</v>
      </c>
      <c r="Y381" s="21" t="s">
        <v>57</v>
      </c>
      <c r="Z381" s="21" t="s">
        <v>57</v>
      </c>
      <c r="AA381" s="21" t="s">
        <v>57</v>
      </c>
      <c r="AB381" s="21" t="s">
        <v>57</v>
      </c>
      <c r="AC381" s="21"/>
      <c r="AD381" s="21"/>
    </row>
    <row r="382" spans="1:30" x14ac:dyDescent="0.2">
      <c r="A382" s="18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 t="s">
        <v>184</v>
      </c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1:30" x14ac:dyDescent="0.2">
      <c r="A383" s="18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 t="s">
        <v>185</v>
      </c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1:30" x14ac:dyDescent="0.2">
      <c r="A384" s="18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1:30" x14ac:dyDescent="0.2">
      <c r="A385" s="18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1:30" x14ac:dyDescent="0.2">
      <c r="A386" s="18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1:30" x14ac:dyDescent="0.2">
      <c r="A387" s="18"/>
      <c r="B387" s="17" t="s">
        <v>178</v>
      </c>
      <c r="C387" s="17" t="s">
        <v>51</v>
      </c>
      <c r="D387" s="35">
        <f>308970313/1000</f>
        <v>308970.31300000002</v>
      </c>
      <c r="E387" s="21"/>
      <c r="F387" s="21"/>
      <c r="G387" s="21"/>
      <c r="H387" s="35">
        <f>308970313/1000</f>
        <v>308970.31300000002</v>
      </c>
      <c r="I387" s="21"/>
      <c r="J387" s="21"/>
      <c r="K387" s="21"/>
      <c r="L387" s="21"/>
      <c r="M387" s="21"/>
      <c r="N387" s="21"/>
      <c r="O387" s="21"/>
      <c r="P387" s="21"/>
      <c r="Q387" s="21"/>
      <c r="R387" s="35">
        <v>0</v>
      </c>
      <c r="S387" s="35"/>
      <c r="T387" s="35"/>
      <c r="U387" s="35"/>
      <c r="V387" s="35"/>
      <c r="W387" s="35"/>
      <c r="X387" s="35"/>
      <c r="Y387" s="35">
        <f>+H387+R387</f>
        <v>308970.31300000002</v>
      </c>
      <c r="Z387" s="35">
        <f>+D387-Y387</f>
        <v>0</v>
      </c>
      <c r="AA387" s="21"/>
      <c r="AB387" s="21"/>
      <c r="AC387" s="21"/>
      <c r="AD387" s="21"/>
    </row>
    <row r="388" spans="1:30" x14ac:dyDescent="0.2">
      <c r="A388" s="18"/>
      <c r="B388" s="3" t="s">
        <v>186</v>
      </c>
      <c r="C388" s="17" t="s">
        <v>181</v>
      </c>
      <c r="D388" s="35">
        <f>320000000/1000</f>
        <v>320000</v>
      </c>
      <c r="E388" s="21"/>
      <c r="F388" s="21"/>
      <c r="G388" s="21"/>
      <c r="H388" s="35">
        <f>(50196171.04+32932099.1)/1000</f>
        <v>83128.270140000008</v>
      </c>
      <c r="I388" s="21"/>
      <c r="J388" s="21"/>
      <c r="K388" s="21"/>
      <c r="L388" s="21"/>
      <c r="M388" s="21"/>
      <c r="N388" s="21"/>
      <c r="O388" s="21"/>
      <c r="P388" s="21"/>
      <c r="Q388" s="21"/>
      <c r="R388" s="35">
        <v>0</v>
      </c>
      <c r="S388" s="35"/>
      <c r="T388" s="35"/>
      <c r="U388" s="35"/>
      <c r="V388" s="35"/>
      <c r="W388" s="35"/>
      <c r="X388" s="35"/>
      <c r="Y388" s="35">
        <f>+H388+R388</f>
        <v>83128.270140000008</v>
      </c>
      <c r="Z388" s="35">
        <f>+D388-Y388</f>
        <v>236871.72985999999</v>
      </c>
      <c r="AA388" s="21"/>
      <c r="AB388" s="21"/>
      <c r="AC388" s="21"/>
      <c r="AD388" s="21"/>
    </row>
    <row r="389" spans="1:30" x14ac:dyDescent="0.2">
      <c r="A389" s="18"/>
      <c r="C389" s="17" t="s">
        <v>64</v>
      </c>
      <c r="D389" s="35">
        <f>12000000/1000</f>
        <v>12000</v>
      </c>
      <c r="E389" s="21"/>
      <c r="F389" s="21"/>
      <c r="G389" s="21"/>
      <c r="H389" s="35">
        <f>12000000/1000</f>
        <v>12000</v>
      </c>
      <c r="I389" s="21"/>
      <c r="J389" s="21"/>
      <c r="K389" s="21"/>
      <c r="L389" s="21"/>
      <c r="M389" s="21"/>
      <c r="N389" s="21"/>
      <c r="O389" s="21"/>
      <c r="P389" s="21"/>
      <c r="Q389" s="21"/>
      <c r="R389" s="35">
        <v>0</v>
      </c>
      <c r="S389" s="35"/>
      <c r="T389" s="35"/>
      <c r="U389" s="35"/>
      <c r="V389" s="35"/>
      <c r="W389" s="35"/>
      <c r="X389" s="35"/>
      <c r="Y389" s="35">
        <f>+H389+R389</f>
        <v>12000</v>
      </c>
      <c r="Z389" s="35">
        <f>+D389-Y389</f>
        <v>0</v>
      </c>
      <c r="AA389" s="21"/>
      <c r="AB389" s="21"/>
      <c r="AC389" s="21"/>
      <c r="AD389" s="21"/>
    </row>
    <row r="390" spans="1:30" x14ac:dyDescent="0.2">
      <c r="A390" s="18"/>
      <c r="C390" s="17" t="s">
        <v>77</v>
      </c>
      <c r="D390" s="35">
        <f>12000000/1000</f>
        <v>12000</v>
      </c>
      <c r="E390" s="21"/>
      <c r="F390" s="21"/>
      <c r="G390" s="21"/>
      <c r="H390" s="35">
        <f>12000000/1000</f>
        <v>12000</v>
      </c>
      <c r="I390" s="21"/>
      <c r="J390" s="21"/>
      <c r="K390" s="21"/>
      <c r="L390" s="21"/>
      <c r="M390" s="21"/>
      <c r="N390" s="21"/>
      <c r="O390" s="21"/>
      <c r="P390" s="21"/>
      <c r="Q390" s="21"/>
      <c r="R390" s="35">
        <v>0</v>
      </c>
      <c r="S390" s="35"/>
      <c r="T390" s="35"/>
      <c r="U390" s="35"/>
      <c r="V390" s="35"/>
      <c r="W390" s="35"/>
      <c r="X390" s="35"/>
      <c r="Y390" s="35">
        <f>+H390+R390</f>
        <v>12000</v>
      </c>
      <c r="Z390" s="35">
        <f>+D390-Y390</f>
        <v>0</v>
      </c>
      <c r="AA390" s="21"/>
      <c r="AB390" s="21"/>
      <c r="AC390" s="21"/>
      <c r="AD390" s="21"/>
    </row>
    <row r="391" spans="1:30" x14ac:dyDescent="0.2">
      <c r="A391" s="18"/>
      <c r="D391" s="21" t="s">
        <v>57</v>
      </c>
      <c r="E391" s="21" t="s">
        <v>57</v>
      </c>
      <c r="F391" s="21" t="s">
        <v>57</v>
      </c>
      <c r="G391" s="21"/>
      <c r="H391" s="21" t="s">
        <v>57</v>
      </c>
      <c r="I391" s="21" t="s">
        <v>57</v>
      </c>
      <c r="J391" s="21" t="s">
        <v>57</v>
      </c>
      <c r="K391" s="21" t="s">
        <v>57</v>
      </c>
      <c r="L391" s="21" t="s">
        <v>57</v>
      </c>
      <c r="M391" s="21"/>
      <c r="N391" s="21" t="s">
        <v>57</v>
      </c>
      <c r="O391" s="21" t="s">
        <v>57</v>
      </c>
      <c r="P391" s="21" t="s">
        <v>57</v>
      </c>
      <c r="Q391" s="21"/>
      <c r="R391" s="21" t="s">
        <v>57</v>
      </c>
      <c r="S391" s="21" t="s">
        <v>57</v>
      </c>
      <c r="T391" s="21" t="s">
        <v>57</v>
      </c>
      <c r="U391" s="21" t="s">
        <v>57</v>
      </c>
      <c r="V391" s="21" t="s">
        <v>57</v>
      </c>
      <c r="W391" s="21"/>
      <c r="X391" s="21" t="s">
        <v>57</v>
      </c>
      <c r="Y391" s="21" t="s">
        <v>57</v>
      </c>
      <c r="Z391" s="21" t="s">
        <v>57</v>
      </c>
      <c r="AA391" s="21"/>
      <c r="AB391" s="21"/>
      <c r="AC391" s="21"/>
      <c r="AD391" s="21"/>
    </row>
    <row r="392" spans="1:30" x14ac:dyDescent="0.2">
      <c r="A392" s="18"/>
      <c r="D392" s="35">
        <f>SUM(D387:D390)</f>
        <v>652970.31300000008</v>
      </c>
      <c r="E392" s="35"/>
      <c r="F392" s="35"/>
      <c r="G392" s="35"/>
      <c r="H392" s="35">
        <f>SUM(H387:H390)</f>
        <v>416098.58314</v>
      </c>
      <c r="I392" s="35">
        <f t="shared" ref="I392:X392" si="63">+I387+I390</f>
        <v>0</v>
      </c>
      <c r="J392" s="35">
        <f t="shared" si="63"/>
        <v>0</v>
      </c>
      <c r="K392" s="35">
        <f t="shared" si="63"/>
        <v>0</v>
      </c>
      <c r="L392" s="35">
        <f t="shared" si="63"/>
        <v>0</v>
      </c>
      <c r="M392" s="35">
        <f t="shared" si="63"/>
        <v>0</v>
      </c>
      <c r="N392" s="35">
        <f t="shared" si="63"/>
        <v>0</v>
      </c>
      <c r="O392" s="35">
        <f t="shared" si="63"/>
        <v>0</v>
      </c>
      <c r="P392" s="35">
        <f t="shared" si="63"/>
        <v>0</v>
      </c>
      <c r="Q392" s="35">
        <f t="shared" si="63"/>
        <v>0</v>
      </c>
      <c r="R392" s="35">
        <f>SUM(R387:R390)</f>
        <v>0</v>
      </c>
      <c r="S392" s="35">
        <f t="shared" si="63"/>
        <v>0</v>
      </c>
      <c r="T392" s="35">
        <f t="shared" si="63"/>
        <v>0</v>
      </c>
      <c r="U392" s="35">
        <f t="shared" si="63"/>
        <v>0</v>
      </c>
      <c r="V392" s="35">
        <f t="shared" si="63"/>
        <v>0</v>
      </c>
      <c r="W392" s="35">
        <f t="shared" si="63"/>
        <v>0</v>
      </c>
      <c r="X392" s="35">
        <f t="shared" si="63"/>
        <v>0</v>
      </c>
      <c r="Y392" s="35">
        <f>SUM(Y387:Y390)</f>
        <v>416098.58314</v>
      </c>
      <c r="Z392" s="35">
        <f>SUM(Z387:Z390)</f>
        <v>236871.72985999999</v>
      </c>
      <c r="AA392" s="21"/>
      <c r="AB392" s="21"/>
      <c r="AC392" s="21"/>
      <c r="AD392" s="21"/>
    </row>
    <row r="393" spans="1:30" x14ac:dyDescent="0.2">
      <c r="A393" s="18"/>
      <c r="D393" s="21" t="s">
        <v>57</v>
      </c>
      <c r="E393" s="21" t="s">
        <v>57</v>
      </c>
      <c r="F393" s="21" t="s">
        <v>57</v>
      </c>
      <c r="G393" s="21"/>
      <c r="H393" s="21" t="s">
        <v>57</v>
      </c>
      <c r="I393" s="21" t="s">
        <v>57</v>
      </c>
      <c r="J393" s="21" t="s">
        <v>57</v>
      </c>
      <c r="K393" s="21" t="s">
        <v>57</v>
      </c>
      <c r="L393" s="21" t="s">
        <v>57</v>
      </c>
      <c r="M393" s="21"/>
      <c r="N393" s="21" t="s">
        <v>57</v>
      </c>
      <c r="O393" s="21" t="s">
        <v>57</v>
      </c>
      <c r="P393" s="21" t="s">
        <v>57</v>
      </c>
      <c r="Q393" s="21"/>
      <c r="R393" s="21" t="s">
        <v>57</v>
      </c>
      <c r="S393" s="21" t="s">
        <v>57</v>
      </c>
      <c r="T393" s="21" t="s">
        <v>57</v>
      </c>
      <c r="U393" s="21" t="s">
        <v>57</v>
      </c>
      <c r="V393" s="21" t="s">
        <v>57</v>
      </c>
      <c r="W393" s="21"/>
      <c r="X393" s="21" t="s">
        <v>57</v>
      </c>
      <c r="Y393" s="21" t="s">
        <v>57</v>
      </c>
      <c r="Z393" s="21" t="s">
        <v>57</v>
      </c>
      <c r="AA393" s="21"/>
      <c r="AB393" s="21"/>
      <c r="AC393" s="21"/>
      <c r="AD393" s="21"/>
    </row>
    <row r="394" spans="1:30" x14ac:dyDescent="0.2">
      <c r="A394" s="18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1:30" x14ac:dyDescent="0.2">
      <c r="A395" s="18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1:30" x14ac:dyDescent="0.2">
      <c r="A396" s="18">
        <v>27</v>
      </c>
      <c r="B396" s="17" t="s">
        <v>187</v>
      </c>
      <c r="C396" s="17" t="s">
        <v>51</v>
      </c>
      <c r="D396" s="19">
        <f>26635000/1000</f>
        <v>26635</v>
      </c>
      <c r="E396" s="19">
        <f>[1]TOBEPAID!E294/1000</f>
        <v>0</v>
      </c>
      <c r="F396" s="19">
        <f>[1]TOBEPAID!F294/1000</f>
        <v>0</v>
      </c>
      <c r="G396" s="19">
        <f>[1]TOBEPAID!G294/1000</f>
        <v>0</v>
      </c>
      <c r="H396" s="19">
        <v>0</v>
      </c>
      <c r="I396" s="19">
        <f>[1]TOBEPAID!I294/1000</f>
        <v>0</v>
      </c>
      <c r="J396" s="19">
        <f>[1]TOBEPAID!J294/1000</f>
        <v>0</v>
      </c>
      <c r="K396" s="19">
        <f>[1]TOBEPAID!K294/1000</f>
        <v>0</v>
      </c>
      <c r="L396" s="19">
        <f>[1]TOBEPAID!L294/1000</f>
        <v>0</v>
      </c>
      <c r="M396" s="19">
        <f>[1]TOBEPAID!M294/1000</f>
        <v>0</v>
      </c>
      <c r="N396" s="19">
        <f>[1]TOBEPAID!N294/1000</f>
        <v>0</v>
      </c>
      <c r="O396" s="19">
        <f>[1]TOBEPAID!O294/1000</f>
        <v>0</v>
      </c>
      <c r="P396" s="19">
        <f>[1]TOBEPAID!P294/1000</f>
        <v>0</v>
      </c>
      <c r="Q396" s="19">
        <f>[1]TOBEPAID!Q294/1000</f>
        <v>0</v>
      </c>
      <c r="R396" s="19">
        <v>0</v>
      </c>
      <c r="S396" s="19">
        <f>[1]TOBEPAID!S294/1000</f>
        <v>0</v>
      </c>
      <c r="T396" s="19">
        <f>[1]TOBEPAID!T294/1000</f>
        <v>0</v>
      </c>
      <c r="U396" s="19">
        <f>[1]TOBEPAID!U294/1000</f>
        <v>0</v>
      </c>
      <c r="V396" s="19">
        <f>[1]TOBEPAID!V294/1000</f>
        <v>0</v>
      </c>
      <c r="W396" s="19">
        <f>[1]TOBEPAID!W294/1000</f>
        <v>0</v>
      </c>
      <c r="X396" s="19">
        <f>[1]TOBEPAID!X294/1000</f>
        <v>0</v>
      </c>
      <c r="Y396" s="19">
        <f>+H396+R396</f>
        <v>0</v>
      </c>
      <c r="Z396" s="19">
        <f>+D396-Y396</f>
        <v>26635</v>
      </c>
      <c r="AA396" s="19">
        <f>[1]TOBEPAID!AA294/1000</f>
        <v>0</v>
      </c>
      <c r="AB396" s="19">
        <f>[1]TOBEPAID!AB294/1000</f>
        <v>26635</v>
      </c>
      <c r="AC396" s="19"/>
      <c r="AD396" s="19"/>
    </row>
    <row r="397" spans="1:30" x14ac:dyDescent="0.2">
      <c r="A397" s="18"/>
      <c r="C397" s="17" t="s">
        <v>54</v>
      </c>
      <c r="D397" s="19">
        <f>43698000/1000</f>
        <v>43698</v>
      </c>
      <c r="E397" s="19">
        <f>[1]TOBEPAID!E295/1000</f>
        <v>0</v>
      </c>
      <c r="F397" s="19">
        <f>[1]TOBEPAID!F295/1000</f>
        <v>0</v>
      </c>
      <c r="G397" s="19">
        <f>[1]TOBEPAID!G295/1000</f>
        <v>0</v>
      </c>
      <c r="H397" s="19">
        <v>0</v>
      </c>
      <c r="I397" s="19">
        <f>[1]TOBEPAID!I295/1000</f>
        <v>0</v>
      </c>
      <c r="J397" s="19">
        <f>[1]TOBEPAID!J295/1000</f>
        <v>0</v>
      </c>
      <c r="K397" s="19">
        <f>[1]TOBEPAID!K295/1000</f>
        <v>0</v>
      </c>
      <c r="L397" s="19">
        <f>[1]TOBEPAID!L295/1000</f>
        <v>0</v>
      </c>
      <c r="M397" s="19">
        <f>[1]TOBEPAID!M295/1000</f>
        <v>0</v>
      </c>
      <c r="N397" s="19">
        <f>[1]TOBEPAID!N295/1000</f>
        <v>0</v>
      </c>
      <c r="O397" s="19">
        <f>[1]TOBEPAID!O295/1000</f>
        <v>0</v>
      </c>
      <c r="P397" s="19">
        <f>[1]TOBEPAID!P295/1000</f>
        <v>0</v>
      </c>
      <c r="Q397" s="19">
        <f>[1]TOBEPAID!Q295/1000</f>
        <v>0</v>
      </c>
      <c r="R397" s="19">
        <v>0</v>
      </c>
      <c r="S397" s="19">
        <f>[1]TOBEPAID!S295/1000</f>
        <v>0</v>
      </c>
      <c r="T397" s="19">
        <f>[1]TOBEPAID!T295/1000</f>
        <v>0</v>
      </c>
      <c r="U397" s="19">
        <f>[1]TOBEPAID!U295/1000</f>
        <v>0</v>
      </c>
      <c r="V397" s="19">
        <f>[1]TOBEPAID!V295/1000</f>
        <v>0</v>
      </c>
      <c r="W397" s="19">
        <f>[1]TOBEPAID!W295/1000</f>
        <v>0</v>
      </c>
      <c r="X397" s="19">
        <f>[1]TOBEPAID!X295/1000</f>
        <v>0</v>
      </c>
      <c r="Y397" s="19">
        <f>+H397+R397</f>
        <v>0</v>
      </c>
      <c r="Z397" s="19">
        <f>+D397-Y397</f>
        <v>43698</v>
      </c>
      <c r="AA397" s="19">
        <f>[1]TOBEPAID!AA295/1000</f>
        <v>0</v>
      </c>
      <c r="AB397" s="19">
        <f>[1]TOBEPAID!AB295/1000</f>
        <v>43698</v>
      </c>
      <c r="AC397" s="19"/>
      <c r="AD397" s="19"/>
    </row>
    <row r="398" spans="1:30" x14ac:dyDescent="0.2">
      <c r="A398" s="18"/>
      <c r="C398" s="17" t="s">
        <v>55</v>
      </c>
      <c r="D398" s="19">
        <f>6594000/1000</f>
        <v>6594</v>
      </c>
      <c r="E398" s="19">
        <f>[1]TOBEPAID!E296/1000</f>
        <v>0</v>
      </c>
      <c r="F398" s="19">
        <f>[1]TOBEPAID!F296/1000</f>
        <v>0</v>
      </c>
      <c r="G398" s="19">
        <f>[1]TOBEPAID!G296/1000</f>
        <v>0</v>
      </c>
      <c r="H398" s="19">
        <v>0</v>
      </c>
      <c r="I398" s="19">
        <f>[1]TOBEPAID!I296/1000</f>
        <v>0</v>
      </c>
      <c r="J398" s="19">
        <f>[1]TOBEPAID!J296/1000</f>
        <v>0</v>
      </c>
      <c r="K398" s="19">
        <f>[1]TOBEPAID!K296/1000</f>
        <v>0</v>
      </c>
      <c r="L398" s="19">
        <f>[1]TOBEPAID!L296/1000</f>
        <v>0</v>
      </c>
      <c r="M398" s="19">
        <f>[1]TOBEPAID!M296/1000</f>
        <v>0</v>
      </c>
      <c r="N398" s="19">
        <f>[1]TOBEPAID!N296/1000</f>
        <v>0</v>
      </c>
      <c r="O398" s="19">
        <f>[1]TOBEPAID!O296/1000</f>
        <v>0</v>
      </c>
      <c r="P398" s="19">
        <f>[1]TOBEPAID!P296/1000</f>
        <v>0</v>
      </c>
      <c r="Q398" s="19">
        <f>[1]TOBEPAID!Q296/1000</f>
        <v>0</v>
      </c>
      <c r="R398" s="19">
        <v>0</v>
      </c>
      <c r="S398" s="19">
        <f>[1]TOBEPAID!S296/1000</f>
        <v>0</v>
      </c>
      <c r="T398" s="19">
        <f>[1]TOBEPAID!T296/1000</f>
        <v>0</v>
      </c>
      <c r="U398" s="19">
        <f>[1]TOBEPAID!U296/1000</f>
        <v>0</v>
      </c>
      <c r="V398" s="19">
        <f>[1]TOBEPAID!V296/1000</f>
        <v>0</v>
      </c>
      <c r="W398" s="19">
        <f>[1]TOBEPAID!W296/1000</f>
        <v>0</v>
      </c>
      <c r="X398" s="19">
        <f>[1]TOBEPAID!X296/1000</f>
        <v>0</v>
      </c>
      <c r="Y398" s="19">
        <f>+H398+R398</f>
        <v>0</v>
      </c>
      <c r="Z398" s="19">
        <f>+D398-Y398</f>
        <v>6594</v>
      </c>
      <c r="AA398" s="19">
        <f>[1]TOBEPAID!AA296/1000</f>
        <v>0</v>
      </c>
      <c r="AB398" s="19">
        <f>[1]TOBEPAID!AB296/1000</f>
        <v>6594</v>
      </c>
      <c r="AC398" s="19"/>
      <c r="AD398" s="19"/>
    </row>
    <row r="399" spans="1:30" x14ac:dyDescent="0.2">
      <c r="A399" s="18"/>
      <c r="C399" s="31" t="s">
        <v>56</v>
      </c>
      <c r="D399" s="19">
        <f>6302000/1000</f>
        <v>6302</v>
      </c>
      <c r="E399" s="19">
        <f>[1]TOBEPAID!E297/1000</f>
        <v>0</v>
      </c>
      <c r="F399" s="19">
        <f>[1]TOBEPAID!F297/1000</f>
        <v>0</v>
      </c>
      <c r="G399" s="19">
        <f>[1]TOBEPAID!G297/1000</f>
        <v>0</v>
      </c>
      <c r="H399" s="19">
        <v>0</v>
      </c>
      <c r="I399" s="19">
        <f>[1]TOBEPAID!I297/1000</f>
        <v>0</v>
      </c>
      <c r="J399" s="19">
        <f>[1]TOBEPAID!J297/1000</f>
        <v>0</v>
      </c>
      <c r="K399" s="19">
        <f>[1]TOBEPAID!K297/1000</f>
        <v>0</v>
      </c>
      <c r="L399" s="19">
        <f>[1]TOBEPAID!L297/1000</f>
        <v>0</v>
      </c>
      <c r="M399" s="19">
        <f>[1]TOBEPAID!M297/1000</f>
        <v>0</v>
      </c>
      <c r="N399" s="19">
        <f>[1]TOBEPAID!N297/1000</f>
        <v>0</v>
      </c>
      <c r="O399" s="19">
        <f>[1]TOBEPAID!O297/1000</f>
        <v>0</v>
      </c>
      <c r="P399" s="19">
        <f>[1]TOBEPAID!P297/1000</f>
        <v>0</v>
      </c>
      <c r="Q399" s="19">
        <f>[1]TOBEPAID!Q297/1000</f>
        <v>0</v>
      </c>
      <c r="R399" s="19">
        <v>0</v>
      </c>
      <c r="S399" s="19">
        <f>[1]TOBEPAID!S297/1000</f>
        <v>0</v>
      </c>
      <c r="T399" s="19">
        <f>[1]TOBEPAID!T297/1000</f>
        <v>0</v>
      </c>
      <c r="U399" s="19">
        <f>[1]TOBEPAID!U297/1000</f>
        <v>0</v>
      </c>
      <c r="V399" s="19">
        <f>[1]TOBEPAID!V297/1000</f>
        <v>0</v>
      </c>
      <c r="W399" s="19">
        <f>[1]TOBEPAID!W297/1000</f>
        <v>0</v>
      </c>
      <c r="X399" s="19">
        <f>[1]TOBEPAID!X297/1000</f>
        <v>0</v>
      </c>
      <c r="Y399" s="19">
        <f>+H399+R399</f>
        <v>0</v>
      </c>
      <c r="Z399" s="19">
        <f>+D399-Y399</f>
        <v>6302</v>
      </c>
      <c r="AA399" s="19">
        <f>[1]TOBEPAID!AA297/1000</f>
        <v>0</v>
      </c>
      <c r="AB399" s="19">
        <f>[1]TOBEPAID!AB297/1000</f>
        <v>6302</v>
      </c>
      <c r="AC399" s="19"/>
      <c r="AD399" s="19"/>
    </row>
    <row r="400" spans="1:30" x14ac:dyDescent="0.2">
      <c r="A400" s="18"/>
      <c r="D400" s="21" t="s">
        <v>57</v>
      </c>
      <c r="E400" s="21" t="s">
        <v>57</v>
      </c>
      <c r="F400" s="21" t="s">
        <v>57</v>
      </c>
      <c r="G400" s="21"/>
      <c r="H400" s="21" t="s">
        <v>57</v>
      </c>
      <c r="I400" s="21" t="s">
        <v>57</v>
      </c>
      <c r="J400" s="21" t="s">
        <v>57</v>
      </c>
      <c r="K400" s="21" t="s">
        <v>57</v>
      </c>
      <c r="L400" s="21" t="s">
        <v>57</v>
      </c>
      <c r="M400" s="21"/>
      <c r="N400" s="21" t="s">
        <v>57</v>
      </c>
      <c r="O400" s="21" t="s">
        <v>57</v>
      </c>
      <c r="P400" s="21" t="s">
        <v>57</v>
      </c>
      <c r="Q400" s="21"/>
      <c r="R400" s="21" t="s">
        <v>57</v>
      </c>
      <c r="S400" s="21" t="s">
        <v>57</v>
      </c>
      <c r="T400" s="21" t="s">
        <v>57</v>
      </c>
      <c r="U400" s="21" t="s">
        <v>57</v>
      </c>
      <c r="V400" s="21" t="s">
        <v>57</v>
      </c>
      <c r="W400" s="21"/>
      <c r="X400" s="21" t="s">
        <v>57</v>
      </c>
      <c r="Y400" s="21" t="s">
        <v>57</v>
      </c>
      <c r="Z400" s="21" t="s">
        <v>57</v>
      </c>
      <c r="AA400" s="21" t="s">
        <v>57</v>
      </c>
      <c r="AB400" s="21" t="s">
        <v>57</v>
      </c>
      <c r="AC400" s="21"/>
      <c r="AD400" s="21"/>
    </row>
    <row r="401" spans="1:45" x14ac:dyDescent="0.2">
      <c r="A401" s="18"/>
      <c r="D401" s="19">
        <f t="shared" ref="D401:AB401" si="64">SUM(D396:D399)</f>
        <v>83229</v>
      </c>
      <c r="E401" s="19">
        <f t="shared" si="64"/>
        <v>0</v>
      </c>
      <c r="F401" s="19">
        <f t="shared" si="64"/>
        <v>0</v>
      </c>
      <c r="G401" s="19"/>
      <c r="H401" s="19">
        <f t="shared" si="64"/>
        <v>0</v>
      </c>
      <c r="I401" s="19">
        <f t="shared" si="64"/>
        <v>0</v>
      </c>
      <c r="J401" s="19">
        <f t="shared" si="64"/>
        <v>0</v>
      </c>
      <c r="K401" s="19">
        <f t="shared" si="64"/>
        <v>0</v>
      </c>
      <c r="L401" s="19">
        <f t="shared" si="64"/>
        <v>0</v>
      </c>
      <c r="M401" s="19"/>
      <c r="N401" s="19">
        <f t="shared" si="64"/>
        <v>0</v>
      </c>
      <c r="O401" s="19">
        <f t="shared" si="64"/>
        <v>0</v>
      </c>
      <c r="P401" s="19">
        <f t="shared" si="64"/>
        <v>0</v>
      </c>
      <c r="Q401" s="19"/>
      <c r="R401" s="19">
        <f t="shared" si="64"/>
        <v>0</v>
      </c>
      <c r="S401" s="19">
        <f t="shared" si="64"/>
        <v>0</v>
      </c>
      <c r="T401" s="19">
        <f t="shared" si="64"/>
        <v>0</v>
      </c>
      <c r="U401" s="19">
        <f t="shared" si="64"/>
        <v>0</v>
      </c>
      <c r="V401" s="19">
        <f t="shared" si="64"/>
        <v>0</v>
      </c>
      <c r="W401" s="19"/>
      <c r="X401" s="19">
        <f t="shared" si="64"/>
        <v>0</v>
      </c>
      <c r="Y401" s="19">
        <f t="shared" si="64"/>
        <v>0</v>
      </c>
      <c r="Z401" s="19">
        <f t="shared" si="64"/>
        <v>83229</v>
      </c>
      <c r="AA401" s="19">
        <f t="shared" si="64"/>
        <v>0</v>
      </c>
      <c r="AB401" s="19">
        <f t="shared" si="64"/>
        <v>83229</v>
      </c>
      <c r="AC401" s="19"/>
      <c r="AD401" s="19"/>
    </row>
    <row r="402" spans="1:45" x14ac:dyDescent="0.2">
      <c r="A402" s="18"/>
      <c r="D402" s="21" t="s">
        <v>57</v>
      </c>
      <c r="E402" s="21" t="s">
        <v>57</v>
      </c>
      <c r="F402" s="21" t="s">
        <v>57</v>
      </c>
      <c r="G402" s="21"/>
      <c r="H402" s="21" t="s">
        <v>57</v>
      </c>
      <c r="I402" s="21" t="s">
        <v>57</v>
      </c>
      <c r="J402" s="21" t="s">
        <v>57</v>
      </c>
      <c r="K402" s="21" t="s">
        <v>57</v>
      </c>
      <c r="L402" s="21" t="s">
        <v>57</v>
      </c>
      <c r="M402" s="21"/>
      <c r="N402" s="21" t="s">
        <v>57</v>
      </c>
      <c r="O402" s="21" t="s">
        <v>57</v>
      </c>
      <c r="P402" s="21" t="s">
        <v>57</v>
      </c>
      <c r="Q402" s="21"/>
      <c r="R402" s="21" t="s">
        <v>57</v>
      </c>
      <c r="S402" s="21" t="s">
        <v>57</v>
      </c>
      <c r="T402" s="21" t="s">
        <v>57</v>
      </c>
      <c r="U402" s="21" t="s">
        <v>57</v>
      </c>
      <c r="V402" s="21" t="s">
        <v>57</v>
      </c>
      <c r="W402" s="21"/>
      <c r="X402" s="21" t="s">
        <v>57</v>
      </c>
      <c r="Y402" s="21" t="s">
        <v>57</v>
      </c>
      <c r="Z402" s="21" t="s">
        <v>57</v>
      </c>
      <c r="AA402" s="21" t="s">
        <v>57</v>
      </c>
      <c r="AB402" s="21" t="s">
        <v>57</v>
      </c>
      <c r="AC402" s="21"/>
      <c r="AD402" s="21"/>
    </row>
    <row r="403" spans="1:45" x14ac:dyDescent="0.2">
      <c r="A403" s="18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1:45" x14ac:dyDescent="0.2">
      <c r="A404" s="18">
        <v>28</v>
      </c>
      <c r="B404" s="17" t="s">
        <v>188</v>
      </c>
      <c r="C404" s="17" t="s">
        <v>51</v>
      </c>
      <c r="D404" s="19">
        <f>25891490/1000</f>
        <v>25891.49</v>
      </c>
      <c r="E404" s="19">
        <f>[1]TOBEPAID!E302/1000</f>
        <v>0</v>
      </c>
      <c r="F404" s="19">
        <f>[1]TOBEPAID!F302/1000</f>
        <v>0</v>
      </c>
      <c r="G404" s="19">
        <f>[1]TOBEPAID!G302/1000</f>
        <v>0</v>
      </c>
      <c r="H404" s="19">
        <f>21000000/1000</f>
        <v>21000</v>
      </c>
      <c r="I404" s="19">
        <f>[1]TOBEPAID!I302/1000</f>
        <v>0</v>
      </c>
      <c r="J404" s="19">
        <f>[1]TOBEPAID!J302/1000</f>
        <v>0</v>
      </c>
      <c r="K404" s="19">
        <f>[1]TOBEPAID!K302/1000</f>
        <v>0</v>
      </c>
      <c r="L404" s="19">
        <f>[1]TOBEPAID!L302/1000</f>
        <v>0</v>
      </c>
      <c r="M404" s="19">
        <f>[1]TOBEPAID!M302/1000</f>
        <v>0</v>
      </c>
      <c r="N404" s="19">
        <f>[1]TOBEPAID!N302/1000</f>
        <v>0</v>
      </c>
      <c r="O404" s="19">
        <f>[1]TOBEPAID!O302/1000</f>
        <v>484.42798999999997</v>
      </c>
      <c r="P404" s="19">
        <f>[1]TOBEPAID!P302/1000</f>
        <v>0</v>
      </c>
      <c r="Q404" s="19">
        <f>[1]TOBEPAID!Q302/1000</f>
        <v>0</v>
      </c>
      <c r="R404" s="19">
        <f>4891490/1000</f>
        <v>4891.49</v>
      </c>
      <c r="S404" s="19">
        <f>[1]TOBEPAID!S302/1000</f>
        <v>0</v>
      </c>
      <c r="T404" s="19">
        <f>[1]TOBEPAID!T302/1000</f>
        <v>0</v>
      </c>
      <c r="U404" s="19">
        <f>[1]TOBEPAID!U302/1000</f>
        <v>0</v>
      </c>
      <c r="V404" s="19">
        <f>[1]TOBEPAID!V302/1000</f>
        <v>0</v>
      </c>
      <c r="W404" s="19">
        <f>[1]TOBEPAID!W302/1000</f>
        <v>0</v>
      </c>
      <c r="X404" s="19">
        <f>[1]TOBEPAID!X302/1000</f>
        <v>484.42798999999997</v>
      </c>
      <c r="Y404" s="19">
        <f>+H404+R404</f>
        <v>25891.489999999998</v>
      </c>
      <c r="Z404" s="19">
        <f t="shared" ref="Z404:Z412" si="65">+D404-Y404</f>
        <v>0</v>
      </c>
      <c r="AA404" s="19">
        <f>[1]TOBEPAID!AA302/1000</f>
        <v>484.42798999999997</v>
      </c>
      <c r="AB404" s="19">
        <f>[1]TOBEPAID!AB302/1000</f>
        <v>972.35546999999997</v>
      </c>
      <c r="AC404" s="19" t="s">
        <v>116</v>
      </c>
      <c r="AD404" s="19"/>
    </row>
    <row r="405" spans="1:45" x14ac:dyDescent="0.2">
      <c r="A405" s="18"/>
      <c r="B405" s="17"/>
      <c r="C405" s="17" t="s">
        <v>180</v>
      </c>
      <c r="D405" s="19">
        <f>130000000/1000</f>
        <v>130000</v>
      </c>
      <c r="E405" s="19"/>
      <c r="F405" s="19"/>
      <c r="G405" s="19"/>
      <c r="H405" s="19">
        <f>84683545.74/1000</f>
        <v>84683.545740000001</v>
      </c>
      <c r="I405" s="19"/>
      <c r="J405" s="19"/>
      <c r="K405" s="19"/>
      <c r="L405" s="19"/>
      <c r="M405" s="19"/>
      <c r="N405" s="19"/>
      <c r="O405" s="19"/>
      <c r="P405" s="19"/>
      <c r="Q405" s="19"/>
      <c r="R405" s="19">
        <v>0</v>
      </c>
      <c r="S405" s="19"/>
      <c r="T405" s="19"/>
      <c r="U405" s="19"/>
      <c r="V405" s="19"/>
      <c r="W405" s="19"/>
      <c r="X405" s="19"/>
      <c r="Y405" s="19">
        <f t="shared" ref="Y405:Y412" si="66">+H405+R405</f>
        <v>84683.545740000001</v>
      </c>
      <c r="Z405" s="19">
        <f t="shared" si="65"/>
        <v>45316.454259999999</v>
      </c>
      <c r="AA405" s="19"/>
      <c r="AB405" s="19"/>
      <c r="AC405" s="19"/>
      <c r="AD405" s="19"/>
    </row>
    <row r="406" spans="1:45" x14ac:dyDescent="0.2">
      <c r="A406" s="18"/>
      <c r="C406" s="20" t="s">
        <v>52</v>
      </c>
      <c r="D406" s="19">
        <f>6312175/1000</f>
        <v>6312.1750000000002</v>
      </c>
      <c r="E406" s="19">
        <f>[1]TOBEPAID!E303/1000</f>
        <v>6312.1754199999996</v>
      </c>
      <c r="F406" s="19">
        <f>[1]TOBEPAID!F303/1000</f>
        <v>0</v>
      </c>
      <c r="G406" s="19">
        <f>[1]TOBEPAID!G303/1000</f>
        <v>0</v>
      </c>
      <c r="H406" s="19">
        <f>6312175/1000</f>
        <v>6312.1750000000002</v>
      </c>
      <c r="I406" s="19">
        <f>[1]TOBEPAID!I303/1000</f>
        <v>0</v>
      </c>
      <c r="J406" s="19">
        <f>[1]TOBEPAID!J303/1000</f>
        <v>0</v>
      </c>
      <c r="K406" s="19">
        <f>[1]TOBEPAID!K303/1000</f>
        <v>0</v>
      </c>
      <c r="L406" s="19">
        <f>[1]TOBEPAID!L303/1000</f>
        <v>0</v>
      </c>
      <c r="M406" s="19">
        <f>[1]TOBEPAID!M303/1000</f>
        <v>0</v>
      </c>
      <c r="N406" s="19">
        <f>[1]TOBEPAID!N303/1000</f>
        <v>6312.1754199999996</v>
      </c>
      <c r="O406" s="19">
        <f>[1]TOBEPAID!O303/1000</f>
        <v>0</v>
      </c>
      <c r="P406" s="19">
        <f>[1]TOBEPAID!P303/1000</f>
        <v>0</v>
      </c>
      <c r="Q406" s="19">
        <f>[1]TOBEPAID!Q303/1000</f>
        <v>0</v>
      </c>
      <c r="R406" s="19">
        <v>0</v>
      </c>
      <c r="S406" s="19">
        <f>[1]TOBEPAID!S303/1000</f>
        <v>0</v>
      </c>
      <c r="T406" s="19">
        <f>[1]TOBEPAID!T303/1000</f>
        <v>0</v>
      </c>
      <c r="U406" s="19">
        <f>[1]TOBEPAID!U303/1000</f>
        <v>0</v>
      </c>
      <c r="V406" s="19">
        <f>[1]TOBEPAID!V303/1000</f>
        <v>0</v>
      </c>
      <c r="W406" s="19">
        <f>[1]TOBEPAID!W303/1000</f>
        <v>0</v>
      </c>
      <c r="X406" s="19">
        <f>[1]TOBEPAID!X303/1000</f>
        <v>0</v>
      </c>
      <c r="Y406" s="19">
        <f t="shared" si="66"/>
        <v>6312.1750000000002</v>
      </c>
      <c r="Z406" s="19">
        <f t="shared" si="65"/>
        <v>0</v>
      </c>
      <c r="AA406" s="19">
        <f>[1]TOBEPAID!AA303/1000</f>
        <v>6312.1754199999996</v>
      </c>
      <c r="AB406" s="19">
        <f>[1]TOBEPAID!AB303/1000</f>
        <v>0</v>
      </c>
      <c r="AC406" s="19"/>
      <c r="AD406" s="19"/>
    </row>
    <row r="407" spans="1:45" x14ac:dyDescent="0.2">
      <c r="A407" s="18"/>
      <c r="C407" s="20" t="s">
        <v>70</v>
      </c>
      <c r="D407" s="19">
        <f>17130000/1000</f>
        <v>17130</v>
      </c>
      <c r="E407" s="19">
        <f>[1]TOBEPAID!E304/1000</f>
        <v>17130</v>
      </c>
      <c r="F407" s="19">
        <f>[1]TOBEPAID!F304/1000</f>
        <v>0</v>
      </c>
      <c r="G407" s="19">
        <f>[1]TOBEPAID!G304/1000</f>
        <v>0</v>
      </c>
      <c r="H407" s="19">
        <f>17130000/1000</f>
        <v>17130</v>
      </c>
      <c r="I407" s="19">
        <f>[1]TOBEPAID!I304/1000</f>
        <v>0</v>
      </c>
      <c r="J407" s="19">
        <f>[1]TOBEPAID!J304/1000</f>
        <v>0</v>
      </c>
      <c r="K407" s="19">
        <f>[1]TOBEPAID!K304/1000</f>
        <v>0</v>
      </c>
      <c r="L407" s="19">
        <f>[1]TOBEPAID!L304/1000</f>
        <v>0</v>
      </c>
      <c r="M407" s="19">
        <f>[1]TOBEPAID!M304/1000</f>
        <v>0</v>
      </c>
      <c r="N407" s="19">
        <f>[1]TOBEPAID!N304/1000</f>
        <v>17130</v>
      </c>
      <c r="O407" s="19">
        <f>[1]TOBEPAID!O304/1000</f>
        <v>0</v>
      </c>
      <c r="P407" s="19">
        <f>[1]TOBEPAID!P304/1000</f>
        <v>0</v>
      </c>
      <c r="Q407" s="19">
        <f>[1]TOBEPAID!Q304/1000</f>
        <v>0</v>
      </c>
      <c r="R407" s="19">
        <v>0</v>
      </c>
      <c r="S407" s="19">
        <f>[1]TOBEPAID!S304/1000</f>
        <v>0</v>
      </c>
      <c r="T407" s="19">
        <f>[1]TOBEPAID!T304/1000</f>
        <v>0</v>
      </c>
      <c r="U407" s="19">
        <f>[1]TOBEPAID!U304/1000</f>
        <v>0</v>
      </c>
      <c r="V407" s="19">
        <f>[1]TOBEPAID!V304/1000</f>
        <v>0</v>
      </c>
      <c r="W407" s="19">
        <f>[1]TOBEPAID!W304/1000</f>
        <v>0</v>
      </c>
      <c r="X407" s="19">
        <f>[1]TOBEPAID!X304/1000</f>
        <v>0</v>
      </c>
      <c r="Y407" s="19">
        <f t="shared" si="66"/>
        <v>17130</v>
      </c>
      <c r="Z407" s="19">
        <f t="shared" si="65"/>
        <v>0</v>
      </c>
      <c r="AA407" s="19">
        <f>[1]TOBEPAID!AA304/1000</f>
        <v>17130</v>
      </c>
      <c r="AB407" s="19">
        <f>[1]TOBEPAID!AB304/1000</f>
        <v>0</v>
      </c>
      <c r="AC407" s="19"/>
      <c r="AD407" s="19"/>
    </row>
    <row r="408" spans="1:45" x14ac:dyDescent="0.2">
      <c r="A408" s="18"/>
      <c r="C408" s="17" t="s">
        <v>189</v>
      </c>
      <c r="D408" s="19">
        <f>1545852/1000</f>
        <v>1545.8520000000001</v>
      </c>
      <c r="E408" s="19">
        <f>[1]TOBEPAID!E305/1000</f>
        <v>0</v>
      </c>
      <c r="F408" s="19">
        <f>[1]TOBEPAID!F305/1000</f>
        <v>0</v>
      </c>
      <c r="G408" s="19">
        <f>[1]TOBEPAID!G305/1000</f>
        <v>0</v>
      </c>
      <c r="H408" s="19">
        <v>0</v>
      </c>
      <c r="I408" s="19">
        <f>[1]TOBEPAID!I305/1000</f>
        <v>0</v>
      </c>
      <c r="J408" s="19">
        <f>[1]TOBEPAID!J305/1000</f>
        <v>0</v>
      </c>
      <c r="K408" s="19">
        <f>[1]TOBEPAID!K305/1000</f>
        <v>0</v>
      </c>
      <c r="L408" s="19">
        <f>[1]TOBEPAID!L305/1000</f>
        <v>0</v>
      </c>
      <c r="M408" s="19">
        <f>[1]TOBEPAID!M305/1000</f>
        <v>0</v>
      </c>
      <c r="N408" s="19">
        <f>[1]TOBEPAID!N305/1000</f>
        <v>0</v>
      </c>
      <c r="O408" s="19">
        <f>[1]TOBEPAID!O305/1000</f>
        <v>1545.8522800000003</v>
      </c>
      <c r="P408" s="19">
        <f>[1]TOBEPAID!P305/1000</f>
        <v>0</v>
      </c>
      <c r="Q408" s="19">
        <f>[1]TOBEPAID!Q305/1000</f>
        <v>0</v>
      </c>
      <c r="R408" s="19">
        <f>1545852/1000</f>
        <v>1545.8520000000001</v>
      </c>
      <c r="S408" s="19">
        <f>[1]TOBEPAID!S305/1000</f>
        <v>0</v>
      </c>
      <c r="T408" s="19">
        <f>[1]TOBEPAID!T305/1000</f>
        <v>0</v>
      </c>
      <c r="U408" s="19">
        <f>[1]TOBEPAID!U305/1000</f>
        <v>0</v>
      </c>
      <c r="V408" s="19">
        <f>[1]TOBEPAID!V305/1000</f>
        <v>0</v>
      </c>
      <c r="W408" s="19">
        <f>[1]TOBEPAID!W305/1000</f>
        <v>0</v>
      </c>
      <c r="X408" s="19">
        <f>[1]TOBEPAID!X305/1000</f>
        <v>1545.8522800000003</v>
      </c>
      <c r="Y408" s="19">
        <f t="shared" si="66"/>
        <v>1545.8520000000001</v>
      </c>
      <c r="Z408" s="19">
        <f t="shared" si="65"/>
        <v>0</v>
      </c>
      <c r="AA408" s="19">
        <f>[1]TOBEPAID!AA305/1000</f>
        <v>1545.8522800000003</v>
      </c>
      <c r="AB408" s="19">
        <f>[1]TOBEPAID!AB305/1000</f>
        <v>0</v>
      </c>
      <c r="AC408" s="19"/>
      <c r="AD408" s="19"/>
    </row>
    <row r="409" spans="1:45" x14ac:dyDescent="0.2">
      <c r="A409" s="18"/>
      <c r="C409" s="17" t="s">
        <v>161</v>
      </c>
      <c r="D409" s="19">
        <f>12000000/1000</f>
        <v>12000</v>
      </c>
      <c r="E409" s="19"/>
      <c r="F409" s="19"/>
      <c r="G409" s="19"/>
      <c r="H409" s="19">
        <f>12000000/1000</f>
        <v>12000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>
        <v>0</v>
      </c>
      <c r="S409" s="19"/>
      <c r="T409" s="19"/>
      <c r="U409" s="19"/>
      <c r="V409" s="19"/>
      <c r="W409" s="19"/>
      <c r="X409" s="19"/>
      <c r="Y409" s="19">
        <f t="shared" si="66"/>
        <v>12000</v>
      </c>
      <c r="Z409" s="19">
        <f t="shared" si="65"/>
        <v>0</v>
      </c>
      <c r="AA409" s="19"/>
      <c r="AB409" s="19"/>
      <c r="AC409" s="19"/>
      <c r="AD409" s="19"/>
    </row>
    <row r="410" spans="1:45" x14ac:dyDescent="0.2">
      <c r="A410" s="18"/>
      <c r="C410" s="17" t="s">
        <v>55</v>
      </c>
      <c r="D410" s="19">
        <v>0</v>
      </c>
      <c r="E410" s="19">
        <f>[1]TOBEPAID!E306/1000</f>
        <v>0</v>
      </c>
      <c r="F410" s="19">
        <f>[1]TOBEPAID!F306/1000</f>
        <v>0</v>
      </c>
      <c r="G410" s="19">
        <f>[1]TOBEPAID!G306/1000</f>
        <v>0</v>
      </c>
      <c r="H410" s="19">
        <v>0</v>
      </c>
      <c r="I410" s="19">
        <f>[1]TOBEPAID!I306/1000</f>
        <v>0</v>
      </c>
      <c r="J410" s="19">
        <f>[1]TOBEPAID!J306/1000</f>
        <v>0</v>
      </c>
      <c r="K410" s="19">
        <f>[1]TOBEPAID!K306/1000</f>
        <v>0</v>
      </c>
      <c r="L410" s="19">
        <f>[1]TOBEPAID!L306/1000</f>
        <v>0</v>
      </c>
      <c r="M410" s="19">
        <f>[1]TOBEPAID!M306/1000</f>
        <v>0</v>
      </c>
      <c r="N410" s="19">
        <f>[1]TOBEPAID!N306/1000</f>
        <v>0</v>
      </c>
      <c r="O410" s="19">
        <f>[1]TOBEPAID!O306/1000</f>
        <v>0</v>
      </c>
      <c r="P410" s="19">
        <f>[1]TOBEPAID!P306/1000</f>
        <v>0</v>
      </c>
      <c r="Q410" s="19">
        <f>[1]TOBEPAID!Q306/1000</f>
        <v>0</v>
      </c>
      <c r="R410" s="19">
        <v>0</v>
      </c>
      <c r="S410" s="19">
        <f>[1]TOBEPAID!S306/1000</f>
        <v>0</v>
      </c>
      <c r="T410" s="19">
        <f>[1]TOBEPAID!T306/1000</f>
        <v>0</v>
      </c>
      <c r="U410" s="19">
        <f>[1]TOBEPAID!U306/1000</f>
        <v>0</v>
      </c>
      <c r="V410" s="19">
        <f>[1]TOBEPAID!V306/1000</f>
        <v>0</v>
      </c>
      <c r="W410" s="19">
        <f>[1]TOBEPAID!W306/1000</f>
        <v>0</v>
      </c>
      <c r="X410" s="19">
        <f>[1]TOBEPAID!X306/1000</f>
        <v>0</v>
      </c>
      <c r="Y410" s="19">
        <f t="shared" si="66"/>
        <v>0</v>
      </c>
      <c r="Z410" s="19">
        <f t="shared" si="65"/>
        <v>0</v>
      </c>
      <c r="AA410" s="19">
        <f>[1]TOBEPAID!AA306/1000</f>
        <v>0</v>
      </c>
      <c r="AB410" s="19">
        <f>[1]TOBEPAID!AB306/1000</f>
        <v>13773.2</v>
      </c>
      <c r="AC410" s="19"/>
      <c r="AD410" s="19"/>
    </row>
    <row r="411" spans="1:45" x14ac:dyDescent="0.2">
      <c r="A411" s="18"/>
      <c r="C411" s="31" t="s">
        <v>56</v>
      </c>
      <c r="D411" s="19">
        <v>0</v>
      </c>
      <c r="E411" s="19">
        <f>[1]TOBEPAID!E307/1000</f>
        <v>0</v>
      </c>
      <c r="F411" s="19">
        <f>[1]TOBEPAID!F307/1000</f>
        <v>0</v>
      </c>
      <c r="G411" s="19">
        <f>[1]TOBEPAID!G307/1000</f>
        <v>0</v>
      </c>
      <c r="H411" s="19">
        <v>0</v>
      </c>
      <c r="I411" s="19">
        <f>[1]TOBEPAID!I307/1000</f>
        <v>0</v>
      </c>
      <c r="J411" s="19">
        <f>[1]TOBEPAID!J307/1000</f>
        <v>0</v>
      </c>
      <c r="K411" s="19">
        <f>[1]TOBEPAID!K307/1000</f>
        <v>0</v>
      </c>
      <c r="L411" s="19">
        <f>[1]TOBEPAID!L307/1000</f>
        <v>0</v>
      </c>
      <c r="M411" s="19">
        <f>[1]TOBEPAID!M307/1000</f>
        <v>0</v>
      </c>
      <c r="N411" s="19">
        <f>[1]TOBEPAID!N307/1000</f>
        <v>0</v>
      </c>
      <c r="O411" s="19">
        <f>[1]TOBEPAID!O307/1000</f>
        <v>0</v>
      </c>
      <c r="P411" s="19">
        <f>[1]TOBEPAID!P307/1000</f>
        <v>0</v>
      </c>
      <c r="Q411" s="19">
        <f>[1]TOBEPAID!Q307/1000</f>
        <v>0</v>
      </c>
      <c r="R411" s="19">
        <v>0</v>
      </c>
      <c r="S411" s="19">
        <f>[1]TOBEPAID!S307/1000</f>
        <v>0</v>
      </c>
      <c r="T411" s="19">
        <f>[1]TOBEPAID!T307/1000</f>
        <v>0</v>
      </c>
      <c r="U411" s="19">
        <f>[1]TOBEPAID!U307/1000</f>
        <v>0</v>
      </c>
      <c r="V411" s="19">
        <f>[1]TOBEPAID!V307/1000</f>
        <v>0</v>
      </c>
      <c r="W411" s="19">
        <f>[1]TOBEPAID!W307/1000</f>
        <v>0</v>
      </c>
      <c r="X411" s="19">
        <f>[1]TOBEPAID!X307/1000</f>
        <v>0</v>
      </c>
      <c r="Y411" s="19">
        <f t="shared" si="66"/>
        <v>0</v>
      </c>
      <c r="Z411" s="19">
        <f t="shared" si="65"/>
        <v>0</v>
      </c>
      <c r="AA411" s="19">
        <f>[1]TOBEPAID!AA307/1000</f>
        <v>0</v>
      </c>
      <c r="AB411" s="19">
        <f>[1]TOBEPAID!AB307/1000</f>
        <v>3836.0554900000002</v>
      </c>
      <c r="AC411" s="19"/>
      <c r="AD411" s="19"/>
    </row>
    <row r="412" spans="1:45" x14ac:dyDescent="0.2">
      <c r="A412" s="18"/>
      <c r="C412" s="17" t="str">
        <f>+C90</f>
        <v>WB-RERP- STNG. AREA</v>
      </c>
      <c r="D412" s="19">
        <f>7039799/1000</f>
        <v>7039.799</v>
      </c>
      <c r="E412" s="19">
        <f>[1]TOBEPAID!E308/1000</f>
        <v>5549.05519</v>
      </c>
      <c r="F412" s="19">
        <f>[1]TOBEPAID!F308/1000</f>
        <v>0</v>
      </c>
      <c r="G412" s="19">
        <f>[1]TOBEPAID!G308/1000</f>
        <v>0</v>
      </c>
      <c r="H412" s="19">
        <f>5549055.19/1000</f>
        <v>5549.05519</v>
      </c>
      <c r="I412" s="19">
        <f>[1]TOBEPAID!I308/1000</f>
        <v>0</v>
      </c>
      <c r="J412" s="19">
        <f>[1]TOBEPAID!J308/1000</f>
        <v>0</v>
      </c>
      <c r="K412" s="19">
        <f>[1]TOBEPAID!K308/1000</f>
        <v>0</v>
      </c>
      <c r="L412" s="19">
        <f>[1]TOBEPAID!L308/1000</f>
        <v>0</v>
      </c>
      <c r="M412" s="19">
        <f>[1]TOBEPAID!M308/1000</f>
        <v>0</v>
      </c>
      <c r="N412" s="19">
        <f>[1]TOBEPAID!N308/1000</f>
        <v>5549.05519</v>
      </c>
      <c r="O412" s="19">
        <f>[1]TOBEPAID!O308/1000</f>
        <v>835.22230000000002</v>
      </c>
      <c r="P412" s="19">
        <f>[1]TOBEPAID!P308/1000</f>
        <v>0</v>
      </c>
      <c r="Q412" s="19">
        <f>[1]TOBEPAID!Q308/1000</f>
        <v>0</v>
      </c>
      <c r="R412" s="19">
        <f>835222/1000</f>
        <v>835.22199999999998</v>
      </c>
      <c r="S412" s="19">
        <f>[1]TOBEPAID!S308/1000</f>
        <v>0</v>
      </c>
      <c r="T412" s="19">
        <f>[1]TOBEPAID!T308/1000</f>
        <v>0</v>
      </c>
      <c r="U412" s="19">
        <f>[1]TOBEPAID!U308/1000</f>
        <v>0</v>
      </c>
      <c r="V412" s="19">
        <f>[1]TOBEPAID!V308/1000</f>
        <v>0</v>
      </c>
      <c r="W412" s="19">
        <f>[1]TOBEPAID!W308/1000</f>
        <v>0</v>
      </c>
      <c r="X412" s="19">
        <f>[1]TOBEPAID!X308/1000</f>
        <v>835.22230000000002</v>
      </c>
      <c r="Y412" s="19">
        <f t="shared" si="66"/>
        <v>6384.2771899999998</v>
      </c>
      <c r="Z412" s="19">
        <f t="shared" si="65"/>
        <v>655.52181000000019</v>
      </c>
      <c r="AA412" s="19">
        <f>[1]TOBEPAID!AA308/1000</f>
        <v>6384.2774900000004</v>
      </c>
      <c r="AB412" s="19">
        <f>[1]TOBEPAID!AB308/1000</f>
        <v>3115.7225099999996</v>
      </c>
      <c r="AC412" s="19"/>
      <c r="AD412" s="19"/>
    </row>
    <row r="413" spans="1:45" x14ac:dyDescent="0.2">
      <c r="A413" s="18"/>
      <c r="D413" s="21" t="s">
        <v>57</v>
      </c>
      <c r="E413" s="21" t="s">
        <v>57</v>
      </c>
      <c r="F413" s="21" t="s">
        <v>57</v>
      </c>
      <c r="G413" s="21"/>
      <c r="H413" s="21" t="s">
        <v>57</v>
      </c>
      <c r="I413" s="21" t="s">
        <v>57</v>
      </c>
      <c r="J413" s="21" t="s">
        <v>57</v>
      </c>
      <c r="K413" s="21" t="s">
        <v>57</v>
      </c>
      <c r="L413" s="21" t="s">
        <v>57</v>
      </c>
      <c r="M413" s="21"/>
      <c r="N413" s="21" t="s">
        <v>57</v>
      </c>
      <c r="O413" s="21" t="s">
        <v>57</v>
      </c>
      <c r="P413" s="21" t="s">
        <v>57</v>
      </c>
      <c r="Q413" s="21"/>
      <c r="R413" s="21" t="s">
        <v>57</v>
      </c>
      <c r="S413" s="21" t="s">
        <v>57</v>
      </c>
      <c r="T413" s="21" t="s">
        <v>57</v>
      </c>
      <c r="U413" s="21" t="s">
        <v>57</v>
      </c>
      <c r="V413" s="21" t="s">
        <v>57</v>
      </c>
      <c r="W413" s="21"/>
      <c r="X413" s="21" t="s">
        <v>57</v>
      </c>
      <c r="Y413" s="21" t="s">
        <v>57</v>
      </c>
      <c r="Z413" s="21" t="s">
        <v>57</v>
      </c>
      <c r="AA413" s="21" t="s">
        <v>57</v>
      </c>
      <c r="AB413" s="21" t="s">
        <v>57</v>
      </c>
      <c r="AC413" s="21"/>
      <c r="AD413" s="21"/>
    </row>
    <row r="414" spans="1:45" x14ac:dyDescent="0.2">
      <c r="A414" s="18"/>
      <c r="D414" s="19">
        <f>SUM(D404:D412)</f>
        <v>199919.31599999999</v>
      </c>
      <c r="E414" s="19">
        <f>SUM(E404:E412)</f>
        <v>28991.230609999999</v>
      </c>
      <c r="F414" s="19">
        <f>SUM(F404:F412)</f>
        <v>0</v>
      </c>
      <c r="G414" s="19"/>
      <c r="H414" s="19">
        <f>SUM(H404:H412)</f>
        <v>146674.77593000003</v>
      </c>
      <c r="I414" s="19">
        <f>SUM(I404:I412)</f>
        <v>0</v>
      </c>
      <c r="J414" s="19">
        <f>SUM(J404:J412)</f>
        <v>0</v>
      </c>
      <c r="K414" s="19">
        <f>SUM(K404:K412)</f>
        <v>0</v>
      </c>
      <c r="L414" s="19">
        <f>SUM(L404:L412)</f>
        <v>0</v>
      </c>
      <c r="M414" s="19"/>
      <c r="N414" s="19">
        <f>SUM(N404:N412)</f>
        <v>28991.230609999999</v>
      </c>
      <c r="O414" s="19">
        <f>SUM(O404:O412)</f>
        <v>2865.5025700000001</v>
      </c>
      <c r="P414" s="19">
        <f>SUM(P404:P412)</f>
        <v>0</v>
      </c>
      <c r="Q414" s="19"/>
      <c r="R414" s="19">
        <f>SUM(R404:R412)</f>
        <v>7272.5639999999994</v>
      </c>
      <c r="S414" s="19">
        <f>SUM(S404:S412)</f>
        <v>0</v>
      </c>
      <c r="T414" s="19">
        <f>SUM(T404:T412)</f>
        <v>0</v>
      </c>
      <c r="U414" s="19">
        <f>SUM(U404:U412)</f>
        <v>0</v>
      </c>
      <c r="V414" s="19">
        <f>SUM(V404:V412)</f>
        <v>0</v>
      </c>
      <c r="W414" s="19"/>
      <c r="X414" s="19">
        <f>SUM(X404:X412)</f>
        <v>2865.5025700000001</v>
      </c>
      <c r="Y414" s="19">
        <f>SUM(Y404:Y412)</f>
        <v>153947.33993000002</v>
      </c>
      <c r="Z414" s="19">
        <f>SUM(Z404:Z412)</f>
        <v>45971.976069999997</v>
      </c>
      <c r="AA414" s="19">
        <f>SUM(AA404:AA412)</f>
        <v>31856.733179999999</v>
      </c>
      <c r="AB414" s="19">
        <f>SUM(AB404:AB412)</f>
        <v>21697.333470000001</v>
      </c>
      <c r="AC414" s="19"/>
      <c r="AD414" s="19"/>
      <c r="AS414" s="25"/>
    </row>
    <row r="415" spans="1:45" x14ac:dyDescent="0.2">
      <c r="A415" s="18"/>
      <c r="B415" s="3" t="s">
        <v>188</v>
      </c>
      <c r="D415" s="21" t="s">
        <v>57</v>
      </c>
      <c r="E415" s="21" t="s">
        <v>57</v>
      </c>
      <c r="F415" s="21" t="s">
        <v>57</v>
      </c>
      <c r="G415" s="21"/>
      <c r="H415" s="21" t="s">
        <v>57</v>
      </c>
      <c r="I415" s="21" t="s">
        <v>57</v>
      </c>
      <c r="J415" s="21" t="s">
        <v>57</v>
      </c>
      <c r="K415" s="21" t="s">
        <v>57</v>
      </c>
      <c r="L415" s="21" t="s">
        <v>57</v>
      </c>
      <c r="M415" s="21"/>
      <c r="N415" s="21" t="s">
        <v>57</v>
      </c>
      <c r="O415" s="21" t="s">
        <v>57</v>
      </c>
      <c r="P415" s="21" t="s">
        <v>57</v>
      </c>
      <c r="Q415" s="21"/>
      <c r="R415" s="21" t="s">
        <v>57</v>
      </c>
      <c r="S415" s="21" t="s">
        <v>57</v>
      </c>
      <c r="T415" s="21" t="s">
        <v>57</v>
      </c>
      <c r="U415" s="21" t="s">
        <v>57</v>
      </c>
      <c r="V415" s="21" t="s">
        <v>57</v>
      </c>
      <c r="W415" s="21"/>
      <c r="X415" s="21" t="s">
        <v>57</v>
      </c>
      <c r="Y415" s="21" t="s">
        <v>57</v>
      </c>
      <c r="Z415" s="21" t="s">
        <v>57</v>
      </c>
      <c r="AA415" s="21" t="s">
        <v>57</v>
      </c>
      <c r="AB415" s="21" t="s">
        <v>57</v>
      </c>
      <c r="AC415" s="21"/>
      <c r="AD415" s="21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</row>
    <row r="416" spans="1:45" ht="15.75" thickBot="1" x14ac:dyDescent="0.25">
      <c r="A416" s="57"/>
      <c r="B416" s="22" t="s">
        <v>58</v>
      </c>
      <c r="C416" s="25"/>
      <c r="D416" s="23">
        <f>12248063.76/1000</f>
        <v>12248.063759999999</v>
      </c>
      <c r="E416" s="19">
        <f>[1]TOBEPAID!E312/1000</f>
        <v>0</v>
      </c>
      <c r="F416" s="19">
        <f>[1]TOBEPAID!F312/1000</f>
        <v>0</v>
      </c>
      <c r="G416" s="19">
        <f>[1]TOBEPAID!G312/1000</f>
        <v>0</v>
      </c>
      <c r="H416" s="19"/>
      <c r="I416" s="19">
        <f>[1]TOBEPAID!I312/1000</f>
        <v>0</v>
      </c>
      <c r="J416" s="19">
        <f>[1]TOBEPAID!J312/1000</f>
        <v>0</v>
      </c>
      <c r="K416" s="19">
        <f>[1]TOBEPAID!K312/1000</f>
        <v>0</v>
      </c>
      <c r="L416" s="19">
        <f>[1]TOBEPAID!L312/1000</f>
        <v>0</v>
      </c>
      <c r="M416" s="19">
        <f>[1]TOBEPAID!M312/1000</f>
        <v>0</v>
      </c>
      <c r="N416" s="19">
        <f>[1]TOBEPAID!N312/1000</f>
        <v>0</v>
      </c>
      <c r="O416" s="19">
        <f>[1]TOBEPAID!O312/1000</f>
        <v>11735.24517</v>
      </c>
      <c r="P416" s="19">
        <f>[1]TOBEPAID!P312/1000</f>
        <v>0</v>
      </c>
      <c r="Q416" s="19">
        <f>[1]TOBEPAID!Q312/1000</f>
        <v>0</v>
      </c>
      <c r="R416" s="23">
        <f>12248063/1000</f>
        <v>12248.063</v>
      </c>
      <c r="S416" s="19">
        <f>[1]TOBEPAID!S312/1000</f>
        <v>0</v>
      </c>
      <c r="T416" s="19">
        <f>[1]TOBEPAID!T312/1000</f>
        <v>0</v>
      </c>
      <c r="U416" s="19">
        <f>[1]TOBEPAID!U312/1000</f>
        <v>0</v>
      </c>
      <c r="V416" s="19">
        <f>[1]TOBEPAID!V312/1000</f>
        <v>0</v>
      </c>
      <c r="W416" s="19">
        <f>[1]TOBEPAID!W312/1000</f>
        <v>0</v>
      </c>
      <c r="X416" s="19">
        <f>[1]TOBEPAID!X312/1000</f>
        <v>0</v>
      </c>
      <c r="Y416" s="23">
        <f>+H416+R416</f>
        <v>12248.063</v>
      </c>
      <c r="Z416" s="23">
        <f>+D416-Y416</f>
        <v>7.5999999899067916E-4</v>
      </c>
      <c r="AA416" s="19">
        <f>[1]TOBEPAID!AA312/1000</f>
        <v>0</v>
      </c>
      <c r="AB416" s="19">
        <f>[1]TOBEPAID!AB312/1000</f>
        <v>0</v>
      </c>
      <c r="AC416" s="19"/>
      <c r="AD416" s="19"/>
      <c r="AE416" s="25"/>
    </row>
    <row r="417" spans="1:45" ht="16.5" thickTop="1" thickBot="1" x14ac:dyDescent="0.25">
      <c r="A417" s="57"/>
      <c r="B417" s="22"/>
      <c r="C417" s="25"/>
      <c r="D417" s="44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44"/>
      <c r="S417" s="19"/>
      <c r="T417" s="19"/>
      <c r="U417" s="19"/>
      <c r="V417" s="19"/>
      <c r="W417" s="19"/>
      <c r="X417" s="19"/>
      <c r="Y417" s="58" t="s">
        <v>190</v>
      </c>
      <c r="Z417" s="58"/>
      <c r="AA417" s="19"/>
      <c r="AB417" s="19"/>
      <c r="AC417" s="19"/>
      <c r="AD417" s="19"/>
      <c r="AE417" s="25"/>
    </row>
    <row r="418" spans="1:45" ht="15.75" thickTop="1" x14ac:dyDescent="0.2">
      <c r="A418" s="18">
        <v>29</v>
      </c>
      <c r="B418" s="17" t="s">
        <v>191</v>
      </c>
      <c r="C418" s="17" t="s">
        <v>51</v>
      </c>
      <c r="D418" s="19">
        <f>21059632/1000</f>
        <v>21059.632000000001</v>
      </c>
      <c r="E418" s="19">
        <f>[1]TOBEPAID!E313/1000</f>
        <v>0</v>
      </c>
      <c r="F418" s="19">
        <f>[1]TOBEPAID!F313/1000</f>
        <v>0</v>
      </c>
      <c r="G418" s="19">
        <f>[1]TOBEPAID!G313/1000</f>
        <v>0</v>
      </c>
      <c r="H418" s="19">
        <v>0</v>
      </c>
      <c r="I418" s="19">
        <f>[1]TOBEPAID!I313/1000</f>
        <v>0</v>
      </c>
      <c r="J418" s="19">
        <f>[1]TOBEPAID!J313/1000</f>
        <v>0</v>
      </c>
      <c r="K418" s="19">
        <f>[1]TOBEPAID!K313/1000</f>
        <v>0</v>
      </c>
      <c r="L418" s="19">
        <f>[1]TOBEPAID!L313/1000</f>
        <v>0</v>
      </c>
      <c r="M418" s="19">
        <f>[1]TOBEPAID!M313/1000</f>
        <v>0</v>
      </c>
      <c r="N418" s="19">
        <f>[1]TOBEPAID!N313/1000</f>
        <v>0</v>
      </c>
      <c r="O418" s="19">
        <f>[1]TOBEPAID!O313/1000</f>
        <v>103.52244</v>
      </c>
      <c r="P418" s="19">
        <f>[1]TOBEPAID!P313/1000</f>
        <v>0</v>
      </c>
      <c r="Q418" s="19">
        <f>[1]TOBEPAID!Q313/1000</f>
        <v>0</v>
      </c>
      <c r="R418" s="19">
        <f>379164.54/1000</f>
        <v>379.16453999999999</v>
      </c>
      <c r="S418" s="19">
        <f>[1]TOBEPAID!S313/1000</f>
        <v>0</v>
      </c>
      <c r="T418" s="19">
        <f>[1]TOBEPAID!T313/1000</f>
        <v>0</v>
      </c>
      <c r="U418" s="19">
        <f>[1]TOBEPAID!U313/1000</f>
        <v>0</v>
      </c>
      <c r="V418" s="19">
        <f>[1]TOBEPAID!V313/1000</f>
        <v>0</v>
      </c>
      <c r="W418" s="19">
        <f>[1]TOBEPAID!W313/1000</f>
        <v>0</v>
      </c>
      <c r="X418" s="19">
        <f>[1]TOBEPAID!X313/1000</f>
        <v>103.52244</v>
      </c>
      <c r="Y418" s="19">
        <f>+H418+R418</f>
        <v>379.16453999999999</v>
      </c>
      <c r="Z418" s="19">
        <f>+D418-Y418</f>
        <v>20680.46746</v>
      </c>
      <c r="AA418" s="19">
        <f>[1]TOBEPAID!AA313/1000</f>
        <v>103.52244</v>
      </c>
      <c r="AB418" s="19">
        <f>[1]TOBEPAID!AB313/1000</f>
        <v>20956.110369999999</v>
      </c>
      <c r="AC418" s="19"/>
      <c r="AD418" s="19"/>
    </row>
    <row r="419" spans="1:45" x14ac:dyDescent="0.2">
      <c r="A419" s="18"/>
      <c r="C419" s="20" t="s">
        <v>52</v>
      </c>
      <c r="D419" s="19">
        <f>14340450/1000</f>
        <v>14340.45</v>
      </c>
      <c r="E419" s="19">
        <f>[1]TOBEPAID!E314/1000</f>
        <v>14340.45046</v>
      </c>
      <c r="F419" s="19">
        <f>[1]TOBEPAID!F314/1000</f>
        <v>0</v>
      </c>
      <c r="G419" s="19">
        <f>[1]TOBEPAID!G314/1000</f>
        <v>0</v>
      </c>
      <c r="H419" s="19">
        <f>14340450/1000</f>
        <v>14340.45</v>
      </c>
      <c r="I419" s="19">
        <f>[1]TOBEPAID!I314/1000</f>
        <v>0</v>
      </c>
      <c r="J419" s="19">
        <f>[1]TOBEPAID!J314/1000</f>
        <v>0</v>
      </c>
      <c r="K419" s="19">
        <f>[1]TOBEPAID!K314/1000</f>
        <v>0</v>
      </c>
      <c r="L419" s="19">
        <f>[1]TOBEPAID!L314/1000</f>
        <v>0</v>
      </c>
      <c r="M419" s="19">
        <f>[1]TOBEPAID!M314/1000</f>
        <v>0</v>
      </c>
      <c r="N419" s="19">
        <f>[1]TOBEPAID!N314/1000</f>
        <v>14340.45046</v>
      </c>
      <c r="O419" s="19">
        <f>[1]TOBEPAID!O314/1000</f>
        <v>0</v>
      </c>
      <c r="P419" s="19">
        <f>[1]TOBEPAID!P314/1000</f>
        <v>0</v>
      </c>
      <c r="Q419" s="19">
        <f>[1]TOBEPAID!Q314/1000</f>
        <v>0</v>
      </c>
      <c r="R419" s="19">
        <v>0</v>
      </c>
      <c r="S419" s="19">
        <f>[1]TOBEPAID!S314/1000</f>
        <v>0</v>
      </c>
      <c r="T419" s="19">
        <f>[1]TOBEPAID!T314/1000</f>
        <v>0</v>
      </c>
      <c r="U419" s="19">
        <f>[1]TOBEPAID!U314/1000</f>
        <v>0</v>
      </c>
      <c r="V419" s="19">
        <f>[1]TOBEPAID!V314/1000</f>
        <v>0</v>
      </c>
      <c r="W419" s="19">
        <f>[1]TOBEPAID!W314/1000</f>
        <v>0</v>
      </c>
      <c r="X419" s="19">
        <f>[1]TOBEPAID!X314/1000</f>
        <v>0</v>
      </c>
      <c r="Y419" s="19">
        <f>+H419+R419</f>
        <v>14340.45</v>
      </c>
      <c r="Z419" s="19">
        <f>+D419-Y419</f>
        <v>0</v>
      </c>
      <c r="AA419" s="19">
        <f>[1]TOBEPAID!AA314/1000</f>
        <v>14340.45046</v>
      </c>
      <c r="AB419" s="19">
        <f>[1]TOBEPAID!AB314/1000</f>
        <v>0</v>
      </c>
      <c r="AC419" s="19"/>
      <c r="AD419" s="19"/>
    </row>
    <row r="420" spans="1:45" x14ac:dyDescent="0.2">
      <c r="A420" s="18"/>
      <c r="C420" s="20" t="s">
        <v>192</v>
      </c>
      <c r="D420" s="19">
        <f>8840000/1000</f>
        <v>8840</v>
      </c>
      <c r="E420" s="19">
        <f>[1]TOBEPAID!E315/1000</f>
        <v>8840</v>
      </c>
      <c r="F420" s="19">
        <f>[1]TOBEPAID!F315/1000</f>
        <v>0</v>
      </c>
      <c r="G420" s="19">
        <f>[1]TOBEPAID!G315/1000</f>
        <v>0</v>
      </c>
      <c r="H420" s="19">
        <f>8840000/1000</f>
        <v>8840</v>
      </c>
      <c r="I420" s="19">
        <f>[1]TOBEPAID!I315/1000</f>
        <v>0</v>
      </c>
      <c r="J420" s="19">
        <f>[1]TOBEPAID!J315/1000</f>
        <v>0</v>
      </c>
      <c r="K420" s="19">
        <f>[1]TOBEPAID!K315/1000</f>
        <v>0</v>
      </c>
      <c r="L420" s="19">
        <f>[1]TOBEPAID!L315/1000</f>
        <v>0</v>
      </c>
      <c r="M420" s="19">
        <f>[1]TOBEPAID!M315/1000</f>
        <v>0</v>
      </c>
      <c r="N420" s="19">
        <f>[1]TOBEPAID!N315/1000</f>
        <v>8840</v>
      </c>
      <c r="O420" s="19">
        <f>[1]TOBEPAID!O315/1000</f>
        <v>0</v>
      </c>
      <c r="P420" s="19">
        <f>[1]TOBEPAID!P315/1000</f>
        <v>0</v>
      </c>
      <c r="Q420" s="19">
        <f>[1]TOBEPAID!Q315/1000</f>
        <v>0</v>
      </c>
      <c r="R420" s="19">
        <v>0</v>
      </c>
      <c r="S420" s="19">
        <f>[1]TOBEPAID!S315/1000</f>
        <v>0</v>
      </c>
      <c r="T420" s="19">
        <f>[1]TOBEPAID!T315/1000</f>
        <v>0</v>
      </c>
      <c r="U420" s="19">
        <f>[1]TOBEPAID!U315/1000</f>
        <v>0</v>
      </c>
      <c r="V420" s="19">
        <f>[1]TOBEPAID!V315/1000</f>
        <v>0</v>
      </c>
      <c r="W420" s="19">
        <f>[1]TOBEPAID!W315/1000</f>
        <v>0</v>
      </c>
      <c r="X420" s="19">
        <f>[1]TOBEPAID!X315/1000</f>
        <v>0</v>
      </c>
      <c r="Y420" s="19">
        <f>+H420+R420</f>
        <v>8840</v>
      </c>
      <c r="Z420" s="19">
        <f>+D420-Y420</f>
        <v>0</v>
      </c>
      <c r="AA420" s="19">
        <f>[1]TOBEPAID!AA315/1000</f>
        <v>8840</v>
      </c>
      <c r="AB420" s="19">
        <f>[1]TOBEPAID!AB315/1000</f>
        <v>0</v>
      </c>
      <c r="AC420" s="19"/>
      <c r="AD420" s="19"/>
    </row>
    <row r="421" spans="1:45" x14ac:dyDescent="0.2">
      <c r="A421" s="18"/>
      <c r="C421" s="20" t="s">
        <v>81</v>
      </c>
      <c r="D421" s="19">
        <f>700971/1000</f>
        <v>700.971</v>
      </c>
      <c r="E421" s="19">
        <f>[1]TOBEPAID!E316/1000</f>
        <v>700.97162000000003</v>
      </c>
      <c r="F421" s="19">
        <f>[1]TOBEPAID!F316/1000</f>
        <v>0</v>
      </c>
      <c r="G421" s="19">
        <f>[1]TOBEPAID!G316/1000</f>
        <v>0</v>
      </c>
      <c r="H421" s="19">
        <f>700971/1000</f>
        <v>700.971</v>
      </c>
      <c r="I421" s="19">
        <f>[1]TOBEPAID!I316/1000</f>
        <v>0</v>
      </c>
      <c r="J421" s="19">
        <f>[1]TOBEPAID!J316/1000</f>
        <v>0</v>
      </c>
      <c r="K421" s="19">
        <f>[1]TOBEPAID!K316/1000</f>
        <v>0</v>
      </c>
      <c r="L421" s="19">
        <f>[1]TOBEPAID!L316/1000</f>
        <v>0</v>
      </c>
      <c r="M421" s="19">
        <f>[1]TOBEPAID!M316/1000</f>
        <v>0</v>
      </c>
      <c r="N421" s="19">
        <f>[1]TOBEPAID!N316/1000</f>
        <v>700.97162000000003</v>
      </c>
      <c r="O421" s="19">
        <f>[1]TOBEPAID!O316/1000</f>
        <v>0</v>
      </c>
      <c r="P421" s="19">
        <f>[1]TOBEPAID!P316/1000</f>
        <v>0</v>
      </c>
      <c r="Q421" s="19">
        <f>[1]TOBEPAID!Q316/1000</f>
        <v>0</v>
      </c>
      <c r="R421" s="19">
        <v>0</v>
      </c>
      <c r="S421" s="19">
        <f>[1]TOBEPAID!S316/1000</f>
        <v>0</v>
      </c>
      <c r="T421" s="19">
        <f>[1]TOBEPAID!T316/1000</f>
        <v>0</v>
      </c>
      <c r="U421" s="19">
        <f>[1]TOBEPAID!U316/1000</f>
        <v>0</v>
      </c>
      <c r="V421" s="19">
        <f>[1]TOBEPAID!V316/1000</f>
        <v>0</v>
      </c>
      <c r="W421" s="19">
        <f>[1]TOBEPAID!W316/1000</f>
        <v>0</v>
      </c>
      <c r="X421" s="19">
        <f>[1]TOBEPAID!X316/1000</f>
        <v>0</v>
      </c>
      <c r="Y421" s="19">
        <f>+H421+R421</f>
        <v>700.971</v>
      </c>
      <c r="Z421" s="19">
        <f>+D421-Y421</f>
        <v>0</v>
      </c>
      <c r="AA421" s="19">
        <f>[1]TOBEPAID!AA316/1000</f>
        <v>700.97162000000003</v>
      </c>
      <c r="AB421" s="19">
        <f>[1]TOBEPAID!AB316/1000</f>
        <v>0</v>
      </c>
      <c r="AC421" s="19"/>
      <c r="AD421" s="19"/>
    </row>
    <row r="422" spans="1:45" x14ac:dyDescent="0.2">
      <c r="A422" s="18"/>
      <c r="D422" s="21" t="s">
        <v>57</v>
      </c>
      <c r="E422" s="21" t="s">
        <v>57</v>
      </c>
      <c r="F422" s="21" t="s">
        <v>57</v>
      </c>
      <c r="G422" s="21"/>
      <c r="H422" s="21" t="s">
        <v>57</v>
      </c>
      <c r="I422" s="21" t="s">
        <v>57</v>
      </c>
      <c r="J422" s="21" t="s">
        <v>57</v>
      </c>
      <c r="K422" s="21" t="s">
        <v>57</v>
      </c>
      <c r="L422" s="21" t="s">
        <v>57</v>
      </c>
      <c r="M422" s="21"/>
      <c r="N422" s="21" t="s">
        <v>57</v>
      </c>
      <c r="O422" s="21" t="s">
        <v>57</v>
      </c>
      <c r="P422" s="21" t="s">
        <v>57</v>
      </c>
      <c r="Q422" s="21"/>
      <c r="R422" s="21" t="s">
        <v>57</v>
      </c>
      <c r="S422" s="21" t="s">
        <v>57</v>
      </c>
      <c r="T422" s="21" t="s">
        <v>57</v>
      </c>
      <c r="U422" s="21" t="s">
        <v>57</v>
      </c>
      <c r="V422" s="21" t="s">
        <v>57</v>
      </c>
      <c r="W422" s="21"/>
      <c r="X422" s="21" t="s">
        <v>57</v>
      </c>
      <c r="Y422" s="21" t="s">
        <v>57</v>
      </c>
      <c r="Z422" s="21" t="s">
        <v>57</v>
      </c>
      <c r="AA422" s="21" t="s">
        <v>57</v>
      </c>
      <c r="AB422" s="21" t="s">
        <v>57</v>
      </c>
      <c r="AC422" s="21"/>
      <c r="AD422" s="21"/>
    </row>
    <row r="423" spans="1:45" x14ac:dyDescent="0.2">
      <c r="A423" s="18"/>
      <c r="D423" s="19">
        <f t="shared" ref="D423:AB423" si="67">SUM(D418:D421)</f>
        <v>44941.053</v>
      </c>
      <c r="E423" s="19">
        <f t="shared" si="67"/>
        <v>23881.42208</v>
      </c>
      <c r="F423" s="19">
        <f t="shared" si="67"/>
        <v>0</v>
      </c>
      <c r="G423" s="19"/>
      <c r="H423" s="19">
        <f t="shared" si="67"/>
        <v>23881.421000000002</v>
      </c>
      <c r="I423" s="19">
        <f t="shared" si="67"/>
        <v>0</v>
      </c>
      <c r="J423" s="19">
        <f t="shared" si="67"/>
        <v>0</v>
      </c>
      <c r="K423" s="19">
        <f t="shared" si="67"/>
        <v>0</v>
      </c>
      <c r="L423" s="19">
        <f t="shared" si="67"/>
        <v>0</v>
      </c>
      <c r="M423" s="19"/>
      <c r="N423" s="19">
        <f t="shared" si="67"/>
        <v>23881.42208</v>
      </c>
      <c r="O423" s="19">
        <f t="shared" si="67"/>
        <v>103.52244</v>
      </c>
      <c r="P423" s="19">
        <f t="shared" si="67"/>
        <v>0</v>
      </c>
      <c r="Q423" s="19"/>
      <c r="R423" s="19">
        <f t="shared" si="67"/>
        <v>379.16453999999999</v>
      </c>
      <c r="S423" s="19">
        <f t="shared" si="67"/>
        <v>0</v>
      </c>
      <c r="T423" s="19">
        <f t="shared" si="67"/>
        <v>0</v>
      </c>
      <c r="U423" s="19">
        <f t="shared" si="67"/>
        <v>0</v>
      </c>
      <c r="V423" s="19">
        <f t="shared" si="67"/>
        <v>0</v>
      </c>
      <c r="W423" s="19"/>
      <c r="X423" s="19">
        <f t="shared" si="67"/>
        <v>103.52244</v>
      </c>
      <c r="Y423" s="19">
        <f t="shared" si="67"/>
        <v>24260.585540000004</v>
      </c>
      <c r="Z423" s="19">
        <f t="shared" si="67"/>
        <v>20680.46746</v>
      </c>
      <c r="AA423" s="19">
        <f t="shared" si="67"/>
        <v>23984.944520000001</v>
      </c>
      <c r="AB423" s="19">
        <f t="shared" si="67"/>
        <v>20956.110369999999</v>
      </c>
      <c r="AC423" s="19"/>
      <c r="AD423" s="19"/>
    </row>
    <row r="424" spans="1:45" x14ac:dyDescent="0.2">
      <c r="A424" s="18"/>
      <c r="B424" s="3" t="s">
        <v>191</v>
      </c>
      <c r="D424" s="21" t="s">
        <v>57</v>
      </c>
      <c r="E424" s="21" t="s">
        <v>57</v>
      </c>
      <c r="F424" s="21" t="s">
        <v>57</v>
      </c>
      <c r="G424" s="21"/>
      <c r="H424" s="21" t="s">
        <v>57</v>
      </c>
      <c r="I424" s="21" t="s">
        <v>57</v>
      </c>
      <c r="J424" s="21" t="s">
        <v>57</v>
      </c>
      <c r="K424" s="21" t="s">
        <v>57</v>
      </c>
      <c r="L424" s="21" t="s">
        <v>57</v>
      </c>
      <c r="M424" s="21"/>
      <c r="N424" s="21" t="s">
        <v>57</v>
      </c>
      <c r="O424" s="21" t="s">
        <v>57</v>
      </c>
      <c r="P424" s="21" t="s">
        <v>57</v>
      </c>
      <c r="Q424" s="21"/>
      <c r="R424" s="21" t="s">
        <v>57</v>
      </c>
      <c r="S424" s="21" t="s">
        <v>57</v>
      </c>
      <c r="T424" s="21" t="s">
        <v>57</v>
      </c>
      <c r="U424" s="21" t="s">
        <v>57</v>
      </c>
      <c r="V424" s="21" t="s">
        <v>57</v>
      </c>
      <c r="W424" s="21"/>
      <c r="X424" s="21" t="s">
        <v>57</v>
      </c>
      <c r="Y424" s="21" t="s">
        <v>57</v>
      </c>
      <c r="Z424" s="21" t="s">
        <v>57</v>
      </c>
      <c r="AA424" s="21" t="s">
        <v>57</v>
      </c>
      <c r="AB424" s="21" t="s">
        <v>57</v>
      </c>
      <c r="AC424" s="21"/>
      <c r="AD424" s="21"/>
    </row>
    <row r="425" spans="1:45" ht="15.75" thickBot="1" x14ac:dyDescent="0.25">
      <c r="A425" s="18"/>
      <c r="B425" s="22" t="s">
        <v>58</v>
      </c>
      <c r="D425" s="24">
        <f>181752/1000</f>
        <v>181.75200000000001</v>
      </c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4">
        <f t="shared" ref="R425:Y425" si="68">181752/1000</f>
        <v>181.75200000000001</v>
      </c>
      <c r="S425" s="24">
        <f t="shared" si="68"/>
        <v>181.75200000000001</v>
      </c>
      <c r="T425" s="24">
        <f t="shared" si="68"/>
        <v>181.75200000000001</v>
      </c>
      <c r="U425" s="24">
        <f t="shared" si="68"/>
        <v>181.75200000000001</v>
      </c>
      <c r="V425" s="24">
        <f t="shared" si="68"/>
        <v>181.75200000000001</v>
      </c>
      <c r="W425" s="24">
        <f t="shared" si="68"/>
        <v>181.75200000000001</v>
      </c>
      <c r="X425" s="24">
        <f t="shared" si="68"/>
        <v>181.75200000000001</v>
      </c>
      <c r="Y425" s="24">
        <f t="shared" si="68"/>
        <v>181.75200000000001</v>
      </c>
      <c r="Z425" s="23">
        <f>+D425-Y425</f>
        <v>0</v>
      </c>
      <c r="AA425" s="21"/>
      <c r="AB425" s="21"/>
      <c r="AC425" s="21"/>
      <c r="AD425" s="21"/>
    </row>
    <row r="426" spans="1:45" ht="15.75" thickTop="1" x14ac:dyDescent="0.2">
      <c r="A426" s="18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1:45" x14ac:dyDescent="0.2">
      <c r="A427" s="18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1:45" x14ac:dyDescent="0.2">
      <c r="A428" s="18"/>
      <c r="B428" s="22"/>
      <c r="C428" s="25"/>
      <c r="D428" s="44"/>
      <c r="E428" s="44">
        <f>[1]TOBEPAID!E320/1000</f>
        <v>0</v>
      </c>
      <c r="F428" s="44">
        <f>[1]TOBEPAID!F320/1000</f>
        <v>0</v>
      </c>
      <c r="G428" s="44">
        <f>[1]TOBEPAID!G320/1000</f>
        <v>0</v>
      </c>
      <c r="H428" s="44"/>
      <c r="I428" s="44">
        <f>[1]TOBEPAID!I320/1000</f>
        <v>0</v>
      </c>
      <c r="J428" s="44">
        <f>[1]TOBEPAID!J320/1000</f>
        <v>0</v>
      </c>
      <c r="K428" s="44">
        <f>[1]TOBEPAID!K320/1000</f>
        <v>0</v>
      </c>
      <c r="L428" s="44">
        <f>[1]TOBEPAID!L320/1000</f>
        <v>0</v>
      </c>
      <c r="M428" s="44">
        <f>[1]TOBEPAID!M320/1000</f>
        <v>0</v>
      </c>
      <c r="N428" s="44">
        <f>[1]TOBEPAID!N320/1000</f>
        <v>0</v>
      </c>
      <c r="O428" s="44">
        <f>[1]TOBEPAID!O320/1000</f>
        <v>181.75254999999999</v>
      </c>
      <c r="P428" s="44">
        <f>[1]TOBEPAID!P320/1000</f>
        <v>0</v>
      </c>
      <c r="Q428" s="44">
        <f>[1]TOBEPAID!Q320/1000</f>
        <v>0</v>
      </c>
      <c r="R428" s="44"/>
      <c r="S428" s="44">
        <f>[1]TOBEPAID!S320/1000</f>
        <v>0</v>
      </c>
      <c r="T428" s="44">
        <f>[1]TOBEPAID!T320/1000</f>
        <v>0</v>
      </c>
      <c r="U428" s="44">
        <f>[1]TOBEPAID!U320/1000</f>
        <v>0</v>
      </c>
      <c r="V428" s="44">
        <f>[1]TOBEPAID!V320/1000</f>
        <v>0</v>
      </c>
      <c r="W428" s="44">
        <f>[1]TOBEPAID!W320/1000</f>
        <v>0</v>
      </c>
      <c r="X428" s="44">
        <f>[1]TOBEPAID!X320/1000</f>
        <v>0</v>
      </c>
      <c r="Y428" s="44"/>
      <c r="Z428" s="44"/>
      <c r="AA428" s="19">
        <f>[1]TOBEPAID!AA320/1000</f>
        <v>0</v>
      </c>
      <c r="AB428" s="19">
        <f>[1]TOBEPAID!AB320/1000</f>
        <v>0</v>
      </c>
      <c r="AC428" s="19"/>
      <c r="AD428" s="19"/>
      <c r="AS428" s="34">
        <f t="shared" ref="AS428:AS450" si="69">+AF429-AK429-AP429</f>
        <v>-3333.9653000000035</v>
      </c>
    </row>
    <row r="429" spans="1:45" x14ac:dyDescent="0.2">
      <c r="A429" s="18">
        <v>30</v>
      </c>
      <c r="B429" s="17" t="s">
        <v>193</v>
      </c>
      <c r="C429" s="17" t="s">
        <v>194</v>
      </c>
      <c r="D429" s="19">
        <f>73970529/1000</f>
        <v>73970.528999999995</v>
      </c>
      <c r="E429" s="19">
        <f>[1]TOBEPAID!E321/1000</f>
        <v>0</v>
      </c>
      <c r="F429" s="19">
        <f>[1]TOBEPAID!F321/1000</f>
        <v>0</v>
      </c>
      <c r="G429" s="19">
        <f>[1]TOBEPAID!G321/1000</f>
        <v>0</v>
      </c>
      <c r="H429" s="19">
        <f>67500000/1000</f>
        <v>67500</v>
      </c>
      <c r="I429" s="19">
        <f>[1]TOBEPAID!I321/1000</f>
        <v>0</v>
      </c>
      <c r="J429" s="19">
        <f>[1]TOBEPAID!J321/1000</f>
        <v>0</v>
      </c>
      <c r="K429" s="19">
        <f>[1]TOBEPAID!K321/1000</f>
        <v>0</v>
      </c>
      <c r="L429" s="19">
        <f>[1]TOBEPAID!L321/1000</f>
        <v>0</v>
      </c>
      <c r="M429" s="19">
        <f>[1]TOBEPAID!M321/1000</f>
        <v>0</v>
      </c>
      <c r="N429" s="19">
        <f>[1]TOBEPAID!N321/1000</f>
        <v>0</v>
      </c>
      <c r="O429" s="19">
        <f>[1]TOBEPAID!O321/1000</f>
        <v>5433.9591900000005</v>
      </c>
      <c r="P429" s="19">
        <f>[1]TOBEPAID!P321/1000</f>
        <v>0</v>
      </c>
      <c r="Q429" s="19">
        <f>[1]TOBEPAID!Q321/1000</f>
        <v>0</v>
      </c>
      <c r="R429" s="19">
        <f>5484613/1000</f>
        <v>5484.6130000000003</v>
      </c>
      <c r="S429" s="19">
        <f>[1]TOBEPAID!S321/1000</f>
        <v>1479.7539999999999</v>
      </c>
      <c r="T429" s="19">
        <f>[1]TOBEPAID!T321/1000</f>
        <v>0</v>
      </c>
      <c r="U429" s="19">
        <f>[1]TOBEPAID!U321/1000</f>
        <v>0</v>
      </c>
      <c r="V429" s="19">
        <f>[1]TOBEPAID!V321/1000</f>
        <v>0</v>
      </c>
      <c r="W429" s="19">
        <f>[1]TOBEPAID!W321/1000</f>
        <v>0</v>
      </c>
      <c r="X429" s="19">
        <f>[1]TOBEPAID!X321/1000</f>
        <v>5433.9591900000005</v>
      </c>
      <c r="Y429" s="19">
        <f>+H429+R429</f>
        <v>72984.612999999998</v>
      </c>
      <c r="Z429" s="19">
        <f t="shared" ref="Z429:Z438" si="70">+D429-Y429</f>
        <v>985.91599999999744</v>
      </c>
      <c r="AA429" s="19">
        <f>[1]TOBEPAID!AA321/1000</f>
        <v>5433.9591900000005</v>
      </c>
      <c r="AB429" s="19">
        <f>[1]TOBEPAID!AB321/1000</f>
        <v>985.87429999999983</v>
      </c>
      <c r="AC429" s="19"/>
      <c r="AD429" s="19"/>
      <c r="AF429" s="34">
        <f>+D274+D431+D372+D317+D302+D333</f>
        <v>35303.300999999999</v>
      </c>
      <c r="AG429" s="34">
        <f>+E274+E431+E372+E317+E302+E333</f>
        <v>38637.266300000003</v>
      </c>
      <c r="AH429" s="34">
        <f>+F274+F431+F372+F317+F302+F333</f>
        <v>0</v>
      </c>
      <c r="AI429" s="34">
        <f t="shared" ref="AI429:AI451" si="71">+AG429+AH429</f>
        <v>38637.266300000003</v>
      </c>
      <c r="AJ429" s="34">
        <f>+L274+L431+L372+L317+L302+L333</f>
        <v>0</v>
      </c>
      <c r="AK429" s="34">
        <f t="shared" ref="AK429:AK451" si="72">+AI429+AJ429</f>
        <v>38637.266300000003</v>
      </c>
      <c r="AL429" s="34">
        <f>+O274+O431+O372+O317+O302+O333</f>
        <v>0</v>
      </c>
      <c r="AM429" s="34">
        <f>+P274+P431+P372+P317+P302+P333</f>
        <v>0</v>
      </c>
      <c r="AN429" s="34">
        <f t="shared" ref="AN429:AP430" si="73">+AL429+AM429</f>
        <v>0</v>
      </c>
      <c r="AO429" s="34">
        <f t="shared" si="73"/>
        <v>0</v>
      </c>
      <c r="AP429" s="34">
        <f t="shared" si="73"/>
        <v>0</v>
      </c>
      <c r="AQ429" s="34">
        <f t="shared" ref="AQ429:AQ451" si="74">+AI429+AN429</f>
        <v>38637.266300000003</v>
      </c>
      <c r="AR429" s="34">
        <f t="shared" ref="AR429:AR451" si="75">+AF429-AQ429</f>
        <v>-3333.9653000000035</v>
      </c>
      <c r="AS429" s="34">
        <f t="shared" si="69"/>
        <v>0</v>
      </c>
    </row>
    <row r="430" spans="1:45" x14ac:dyDescent="0.2">
      <c r="A430" s="18"/>
      <c r="C430" s="3" t="s">
        <v>67</v>
      </c>
      <c r="D430" s="19">
        <f>329381859/1000</f>
        <v>329381.859</v>
      </c>
      <c r="E430" s="19">
        <f>[1]TOBEPAID!E322/1000</f>
        <v>44776.640140000003</v>
      </c>
      <c r="F430" s="19">
        <f>[1]TOBEPAID!F322/1000</f>
        <v>17500</v>
      </c>
      <c r="G430" s="19">
        <f>[1]TOBEPAID!G322/1000</f>
        <v>0</v>
      </c>
      <c r="H430" s="19">
        <f>329381859/1000</f>
        <v>329381.859</v>
      </c>
      <c r="I430" s="19">
        <f>[1]TOBEPAID!I322/1000</f>
        <v>0</v>
      </c>
      <c r="J430" s="19">
        <f>[1]TOBEPAID!J322/1000</f>
        <v>0</v>
      </c>
      <c r="K430" s="19">
        <f>[1]TOBEPAID!K322/1000</f>
        <v>0</v>
      </c>
      <c r="L430" s="19">
        <f>[1]TOBEPAID!L322/1000</f>
        <v>0</v>
      </c>
      <c r="M430" s="19">
        <f>[1]TOBEPAID!M322/1000</f>
        <v>0</v>
      </c>
      <c r="N430" s="19">
        <f>[1]TOBEPAID!N322/1000</f>
        <v>62276.640140000003</v>
      </c>
      <c r="O430" s="19">
        <f>[1]TOBEPAID!O322/1000</f>
        <v>0</v>
      </c>
      <c r="P430" s="19">
        <f>[1]TOBEPAID!P322/1000</f>
        <v>0</v>
      </c>
      <c r="Q430" s="19">
        <f>[1]TOBEPAID!Q322/1000</f>
        <v>0</v>
      </c>
      <c r="R430" s="19">
        <v>0</v>
      </c>
      <c r="S430" s="19">
        <f>[1]TOBEPAID!S322/1000</f>
        <v>0</v>
      </c>
      <c r="T430" s="19">
        <f>[1]TOBEPAID!T322/1000</f>
        <v>0</v>
      </c>
      <c r="U430" s="19">
        <f>[1]TOBEPAID!U322/1000</f>
        <v>0</v>
      </c>
      <c r="V430" s="19">
        <f>[1]TOBEPAID!V322/1000</f>
        <v>0</v>
      </c>
      <c r="W430" s="19">
        <f>[1]TOBEPAID!W322/1000</f>
        <v>0</v>
      </c>
      <c r="X430" s="19">
        <f>[1]TOBEPAID!X322/1000</f>
        <v>0</v>
      </c>
      <c r="Y430" s="19">
        <f t="shared" ref="Y430:Y438" si="76">+H430+R430</f>
        <v>329381.859</v>
      </c>
      <c r="Z430" s="19">
        <f t="shared" si="70"/>
        <v>0</v>
      </c>
      <c r="AA430" s="19">
        <f>[1]TOBEPAID!AA322/1000</f>
        <v>62276.640140000003</v>
      </c>
      <c r="AB430" s="19">
        <f>[1]TOBEPAID!AB322/1000</f>
        <v>0</v>
      </c>
      <c r="AC430" s="19"/>
      <c r="AD430" s="19"/>
      <c r="AE430" s="25" t="s">
        <v>72</v>
      </c>
      <c r="AF430" s="34">
        <f>+D347+D432+D334</f>
        <v>13343.48</v>
      </c>
      <c r="AG430" s="34">
        <f>+E347+E432+E334</f>
        <v>13343.48</v>
      </c>
      <c r="AH430" s="34">
        <f>+F334</f>
        <v>0</v>
      </c>
      <c r="AI430" s="34">
        <f t="shared" si="71"/>
        <v>13343.48</v>
      </c>
      <c r="AJ430" s="34">
        <f>+L347+L432+L334</f>
        <v>0</v>
      </c>
      <c r="AK430" s="34">
        <f t="shared" si="72"/>
        <v>13343.48</v>
      </c>
      <c r="AL430" s="34">
        <f>+O347+O432+O334</f>
        <v>0</v>
      </c>
      <c r="AM430" s="34">
        <f>+P347+P432+P334</f>
        <v>0</v>
      </c>
      <c r="AN430" s="34">
        <f t="shared" si="73"/>
        <v>0</v>
      </c>
      <c r="AO430" s="34">
        <f t="shared" si="73"/>
        <v>0</v>
      </c>
      <c r="AP430" s="34">
        <f t="shared" si="73"/>
        <v>0</v>
      </c>
      <c r="AQ430" s="34">
        <f t="shared" si="74"/>
        <v>13343.48</v>
      </c>
      <c r="AR430" s="34">
        <f t="shared" si="75"/>
        <v>0</v>
      </c>
      <c r="AS430" s="34">
        <f t="shared" si="69"/>
        <v>-2.4999999982355803E-4</v>
      </c>
    </row>
    <row r="431" spans="1:45" x14ac:dyDescent="0.2">
      <c r="C431" s="3" t="s">
        <v>53</v>
      </c>
      <c r="D431" s="19">
        <f>7937500/1000</f>
        <v>7937.5</v>
      </c>
      <c r="E431" s="19">
        <f>[1]TOBEPAID!E323/1000</f>
        <v>7937.5</v>
      </c>
      <c r="F431" s="19">
        <f>[1]TOBEPAID!F323/1000</f>
        <v>0</v>
      </c>
      <c r="G431" s="19">
        <f>[1]TOBEPAID!G323/1000</f>
        <v>0</v>
      </c>
      <c r="H431" s="19">
        <f>7937500/1000</f>
        <v>7937.5</v>
      </c>
      <c r="I431" s="19">
        <f>[1]TOBEPAID!I323/1000</f>
        <v>0</v>
      </c>
      <c r="J431" s="19">
        <f>[1]TOBEPAID!J323/1000</f>
        <v>0</v>
      </c>
      <c r="K431" s="19">
        <f>[1]TOBEPAID!K323/1000</f>
        <v>0</v>
      </c>
      <c r="L431" s="19">
        <f>[1]TOBEPAID!L323/1000</f>
        <v>0</v>
      </c>
      <c r="M431" s="19">
        <f>[1]TOBEPAID!M323/1000</f>
        <v>0</v>
      </c>
      <c r="N431" s="19">
        <f>[1]TOBEPAID!N323/1000</f>
        <v>7937.5</v>
      </c>
      <c r="O431" s="19">
        <f>[1]TOBEPAID!O323/1000</f>
        <v>0</v>
      </c>
      <c r="P431" s="19">
        <f>[1]TOBEPAID!P323/1000</f>
        <v>0</v>
      </c>
      <c r="Q431" s="19">
        <f>[1]TOBEPAID!Q323/1000</f>
        <v>0</v>
      </c>
      <c r="R431" s="19">
        <v>0</v>
      </c>
      <c r="S431" s="19">
        <f>[1]TOBEPAID!S323/1000</f>
        <v>0</v>
      </c>
      <c r="T431" s="19">
        <f>[1]TOBEPAID!T323/1000</f>
        <v>0</v>
      </c>
      <c r="U431" s="19">
        <f>[1]TOBEPAID!U323/1000</f>
        <v>0</v>
      </c>
      <c r="V431" s="19">
        <f>[1]TOBEPAID!V323/1000</f>
        <v>0</v>
      </c>
      <c r="W431" s="19">
        <f>[1]TOBEPAID!W323/1000</f>
        <v>0</v>
      </c>
      <c r="X431" s="19">
        <f>[1]TOBEPAID!X323/1000</f>
        <v>0</v>
      </c>
      <c r="Y431" s="19">
        <f t="shared" si="76"/>
        <v>7937.5</v>
      </c>
      <c r="Z431" s="19">
        <f t="shared" si="70"/>
        <v>0</v>
      </c>
      <c r="AA431" s="19">
        <f>[1]TOBEPAID!AA323/1000</f>
        <v>7937.5</v>
      </c>
      <c r="AB431" s="19">
        <f>[1]TOBEPAID!AB323/1000</f>
        <v>0</v>
      </c>
      <c r="AC431" s="19"/>
      <c r="AD431" s="19"/>
      <c r="AE431" s="25" t="s">
        <v>78</v>
      </c>
      <c r="AF431" s="34">
        <f>+D280</f>
        <v>1511.7460000000001</v>
      </c>
      <c r="AG431" s="34">
        <f>+E280</f>
        <v>1511.7462499999999</v>
      </c>
      <c r="AH431" s="34">
        <f>+F280</f>
        <v>0</v>
      </c>
      <c r="AI431" s="34">
        <f t="shared" si="71"/>
        <v>1511.7462499999999</v>
      </c>
      <c r="AJ431" s="34">
        <f>+L280</f>
        <v>0</v>
      </c>
      <c r="AK431" s="34">
        <f t="shared" si="72"/>
        <v>1511.7462499999999</v>
      </c>
      <c r="AL431" s="34">
        <f>+O280</f>
        <v>0</v>
      </c>
      <c r="AM431" s="34">
        <f>+P280</f>
        <v>0</v>
      </c>
      <c r="AN431" s="34">
        <f>+AL431+AM431</f>
        <v>0</v>
      </c>
      <c r="AO431" s="34">
        <f>+AM431+AN431</f>
        <v>0</v>
      </c>
      <c r="AP431" s="34"/>
      <c r="AQ431" s="34">
        <f t="shared" si="74"/>
        <v>1511.7462499999999</v>
      </c>
      <c r="AR431" s="34">
        <f t="shared" si="75"/>
        <v>-2.4999999982355803E-4</v>
      </c>
      <c r="AS431" s="34">
        <f t="shared" si="69"/>
        <v>-20000</v>
      </c>
    </row>
    <row r="432" spans="1:45" x14ac:dyDescent="0.2">
      <c r="C432" s="3" t="s">
        <v>195</v>
      </c>
      <c r="D432" s="19">
        <f>2741280/1000</f>
        <v>2741.28</v>
      </c>
      <c r="E432" s="19">
        <f>[1]TOBEPAID!E324/1000</f>
        <v>2741.28</v>
      </c>
      <c r="F432" s="19">
        <f>[1]TOBEPAID!F324/1000</f>
        <v>0</v>
      </c>
      <c r="G432" s="19">
        <f>[1]TOBEPAID!G324/1000</f>
        <v>0</v>
      </c>
      <c r="H432" s="19">
        <f>2741280/1000</f>
        <v>2741.28</v>
      </c>
      <c r="I432" s="19">
        <f>[1]TOBEPAID!I324/1000</f>
        <v>0</v>
      </c>
      <c r="J432" s="19">
        <f>[1]TOBEPAID!J324/1000</f>
        <v>0</v>
      </c>
      <c r="K432" s="19">
        <f>[1]TOBEPAID!K324/1000</f>
        <v>0</v>
      </c>
      <c r="L432" s="19">
        <f>[1]TOBEPAID!L324/1000</f>
        <v>0</v>
      </c>
      <c r="M432" s="19">
        <f>[1]TOBEPAID!M324/1000</f>
        <v>0</v>
      </c>
      <c r="N432" s="19">
        <f>[1]TOBEPAID!N324/1000</f>
        <v>2741.28</v>
      </c>
      <c r="O432" s="19">
        <f>[1]TOBEPAID!O324/1000</f>
        <v>0</v>
      </c>
      <c r="P432" s="19">
        <f>[1]TOBEPAID!P324/1000</f>
        <v>0</v>
      </c>
      <c r="Q432" s="19">
        <f>[1]TOBEPAID!Q324/1000</f>
        <v>0</v>
      </c>
      <c r="R432" s="19">
        <v>0</v>
      </c>
      <c r="S432" s="19">
        <f>[1]TOBEPAID!S324/1000</f>
        <v>0</v>
      </c>
      <c r="T432" s="19">
        <f>[1]TOBEPAID!T324/1000</f>
        <v>0</v>
      </c>
      <c r="U432" s="19">
        <f>[1]TOBEPAID!U324/1000</f>
        <v>0</v>
      </c>
      <c r="V432" s="19">
        <f>[1]TOBEPAID!V324/1000</f>
        <v>0</v>
      </c>
      <c r="W432" s="19">
        <f>[1]TOBEPAID!W324/1000</f>
        <v>0</v>
      </c>
      <c r="X432" s="19">
        <f>[1]TOBEPAID!X324/1000</f>
        <v>0</v>
      </c>
      <c r="Y432" s="19">
        <f t="shared" si="76"/>
        <v>2741.28</v>
      </c>
      <c r="Z432" s="19">
        <f t="shared" si="70"/>
        <v>0</v>
      </c>
      <c r="AA432" s="19">
        <f>[1]TOBEPAID!AA324/1000</f>
        <v>2741.28</v>
      </c>
      <c r="AB432" s="19">
        <f>[1]TOBEPAID!AB324/1000</f>
        <v>0</v>
      </c>
      <c r="AC432" s="19"/>
      <c r="AD432" s="19"/>
      <c r="AE432" s="25" t="s">
        <v>100</v>
      </c>
      <c r="AF432" s="34">
        <f>+D370</f>
        <v>0</v>
      </c>
      <c r="AG432" s="34">
        <f>+E370</f>
        <v>20000</v>
      </c>
      <c r="AH432" s="34">
        <f>+F370</f>
        <v>0</v>
      </c>
      <c r="AI432" s="34">
        <f t="shared" si="71"/>
        <v>20000</v>
      </c>
      <c r="AJ432" s="34">
        <f>+L370</f>
        <v>0</v>
      </c>
      <c r="AK432" s="34">
        <f t="shared" si="72"/>
        <v>20000</v>
      </c>
      <c r="AL432" s="34">
        <f>+O370</f>
        <v>0</v>
      </c>
      <c r="AM432" s="34">
        <f>+P370</f>
        <v>0</v>
      </c>
      <c r="AN432" s="34">
        <f>+AL432+AM432</f>
        <v>0</v>
      </c>
      <c r="AO432" s="34">
        <f>+AL367</f>
        <v>0</v>
      </c>
      <c r="AP432" s="34">
        <f>+AN432+AO432</f>
        <v>0</v>
      </c>
      <c r="AQ432" s="34">
        <f t="shared" si="74"/>
        <v>20000</v>
      </c>
      <c r="AR432" s="34">
        <f t="shared" si="75"/>
        <v>-20000</v>
      </c>
      <c r="AS432" s="34">
        <f>+AF435-AK435-AP435</f>
        <v>891761.47069999995</v>
      </c>
    </row>
    <row r="433" spans="1:45" x14ac:dyDescent="0.2">
      <c r="C433" s="3" t="s">
        <v>196</v>
      </c>
      <c r="D433" s="19">
        <f>2521966/1000</f>
        <v>2521.9659999999999</v>
      </c>
      <c r="E433" s="19"/>
      <c r="F433" s="19"/>
      <c r="G433" s="19"/>
      <c r="H433" s="19">
        <f>2521966/1000</f>
        <v>2521.9659999999999</v>
      </c>
      <c r="I433" s="19"/>
      <c r="J433" s="19"/>
      <c r="K433" s="19"/>
      <c r="L433" s="19"/>
      <c r="M433" s="19"/>
      <c r="N433" s="19"/>
      <c r="O433" s="19"/>
      <c r="P433" s="19"/>
      <c r="Q433" s="19"/>
      <c r="R433" s="19">
        <v>0</v>
      </c>
      <c r="S433" s="19"/>
      <c r="T433" s="19"/>
      <c r="U433" s="19"/>
      <c r="V433" s="19"/>
      <c r="W433" s="19"/>
      <c r="X433" s="19"/>
      <c r="Y433" s="19">
        <f>+H433+R433</f>
        <v>2521.9659999999999</v>
      </c>
      <c r="Z433" s="19">
        <f t="shared" si="70"/>
        <v>0</v>
      </c>
      <c r="AA433" s="19"/>
      <c r="AB433" s="19"/>
      <c r="AC433" s="19"/>
      <c r="AD433" s="19"/>
      <c r="AE433" s="25"/>
      <c r="AF433" s="34"/>
      <c r="AG433" s="34"/>
      <c r="AH433" s="34"/>
      <c r="AI433" s="34"/>
      <c r="AJ433" s="34"/>
      <c r="AK433" s="34"/>
      <c r="AL433" s="34"/>
      <c r="AM433" s="34"/>
      <c r="AN433" s="34"/>
      <c r="AO433" s="34"/>
      <c r="AP433" s="34"/>
      <c r="AQ433" s="34"/>
      <c r="AR433" s="34"/>
      <c r="AS433" s="34"/>
    </row>
    <row r="434" spans="1:45" x14ac:dyDescent="0.2">
      <c r="C434" s="3" t="s">
        <v>68</v>
      </c>
      <c r="D434" s="19">
        <f>20000000/1000</f>
        <v>20000</v>
      </c>
      <c r="E434" s="19"/>
      <c r="F434" s="19"/>
      <c r="G434" s="19"/>
      <c r="H434" s="19">
        <f>20000000/1000</f>
        <v>20000</v>
      </c>
      <c r="I434" s="19"/>
      <c r="J434" s="19"/>
      <c r="K434" s="19"/>
      <c r="L434" s="19"/>
      <c r="M434" s="19"/>
      <c r="N434" s="19"/>
      <c r="O434" s="19"/>
      <c r="P434" s="19"/>
      <c r="Q434" s="19"/>
      <c r="R434" s="19">
        <v>0</v>
      </c>
      <c r="S434" s="19"/>
      <c r="T434" s="19"/>
      <c r="U434" s="19"/>
      <c r="V434" s="19"/>
      <c r="W434" s="19"/>
      <c r="X434" s="19"/>
      <c r="Y434" s="19">
        <f t="shared" si="76"/>
        <v>20000</v>
      </c>
      <c r="Z434" s="19">
        <f t="shared" si="70"/>
        <v>0</v>
      </c>
      <c r="AA434" s="19"/>
      <c r="AB434" s="19"/>
      <c r="AC434" s="19"/>
      <c r="AD434" s="19"/>
      <c r="AE434" s="25"/>
      <c r="AF434" s="34"/>
      <c r="AG434" s="34"/>
      <c r="AH434" s="34"/>
      <c r="AI434" s="34"/>
      <c r="AJ434" s="34"/>
      <c r="AK434" s="34"/>
      <c r="AL434" s="34"/>
      <c r="AM434" s="34"/>
      <c r="AN434" s="34"/>
      <c r="AO434" s="34"/>
      <c r="AP434" s="34"/>
      <c r="AQ434" s="34"/>
      <c r="AR434" s="34"/>
      <c r="AS434" s="34"/>
    </row>
    <row r="435" spans="1:45" x14ac:dyDescent="0.2">
      <c r="A435" s="18"/>
      <c r="C435" s="20" t="s">
        <v>52</v>
      </c>
      <c r="D435" s="19">
        <f>1484835/1000</f>
        <v>1484.835</v>
      </c>
      <c r="E435" s="19">
        <f>[1]TOBEPAID!E325/1000</f>
        <v>1484.8355300000001</v>
      </c>
      <c r="F435" s="19">
        <f>[1]TOBEPAID!F325/1000</f>
        <v>0</v>
      </c>
      <c r="G435" s="19">
        <f>[1]TOBEPAID!G325/1000</f>
        <v>0</v>
      </c>
      <c r="H435" s="19">
        <f>1484835/1000</f>
        <v>1484.835</v>
      </c>
      <c r="I435" s="19">
        <f>[1]TOBEPAID!I325/1000</f>
        <v>0</v>
      </c>
      <c r="J435" s="19">
        <f>[1]TOBEPAID!J325/1000</f>
        <v>0</v>
      </c>
      <c r="K435" s="19">
        <f>[1]TOBEPAID!K325/1000</f>
        <v>0</v>
      </c>
      <c r="L435" s="19">
        <f>[1]TOBEPAID!L325/1000</f>
        <v>0</v>
      </c>
      <c r="M435" s="19">
        <f>[1]TOBEPAID!M325/1000</f>
        <v>0</v>
      </c>
      <c r="N435" s="19">
        <f>[1]TOBEPAID!N325/1000</f>
        <v>1484.8355300000001</v>
      </c>
      <c r="O435" s="19">
        <f>[1]TOBEPAID!O325/1000</f>
        <v>0</v>
      </c>
      <c r="P435" s="19">
        <f>[1]TOBEPAID!P325/1000</f>
        <v>0</v>
      </c>
      <c r="Q435" s="19">
        <f>[1]TOBEPAID!Q325/1000</f>
        <v>0</v>
      </c>
      <c r="R435" s="19">
        <v>0</v>
      </c>
      <c r="S435" s="19">
        <f>[1]TOBEPAID!S325/1000</f>
        <v>0</v>
      </c>
      <c r="T435" s="19">
        <f>[1]TOBEPAID!T325/1000</f>
        <v>0</v>
      </c>
      <c r="U435" s="19">
        <f>[1]TOBEPAID!U325/1000</f>
        <v>0</v>
      </c>
      <c r="V435" s="19">
        <f>[1]TOBEPAID!V325/1000</f>
        <v>0</v>
      </c>
      <c r="W435" s="19">
        <f>[1]TOBEPAID!W325/1000</f>
        <v>0</v>
      </c>
      <c r="X435" s="19">
        <f>[1]TOBEPAID!X325/1000</f>
        <v>0</v>
      </c>
      <c r="Y435" s="19">
        <f t="shared" si="76"/>
        <v>1484.835</v>
      </c>
      <c r="Z435" s="19">
        <f t="shared" si="70"/>
        <v>0</v>
      </c>
      <c r="AA435" s="19">
        <f>[1]TOBEPAID!AA325/1000</f>
        <v>1484.8355300000001</v>
      </c>
      <c r="AB435" s="19">
        <f>[1]TOBEPAID!AB325/1000</f>
        <v>0</v>
      </c>
      <c r="AC435" s="19"/>
      <c r="AD435" s="19"/>
      <c r="AE435" s="25" t="s">
        <v>197</v>
      </c>
      <c r="AF435" s="34">
        <f>+D430+D373</f>
        <v>1247199.044</v>
      </c>
      <c r="AG435" s="34">
        <f>+E430+E373</f>
        <v>324776.64014000003</v>
      </c>
      <c r="AH435" s="34">
        <f>+F430+F373</f>
        <v>30660.93316</v>
      </c>
      <c r="AI435" s="34">
        <f t="shared" si="71"/>
        <v>355437.57330000005</v>
      </c>
      <c r="AJ435" s="34">
        <f>+L430+L373</f>
        <v>0</v>
      </c>
      <c r="AK435" s="34">
        <f t="shared" si="72"/>
        <v>355437.57330000005</v>
      </c>
      <c r="AL435" s="34">
        <f>+O430+O373</f>
        <v>0</v>
      </c>
      <c r="AM435" s="34">
        <f>+P430+P373</f>
        <v>0</v>
      </c>
      <c r="AN435" s="34">
        <f>+AL435+AM435</f>
        <v>0</v>
      </c>
      <c r="AO435" s="34">
        <f>+AL429+AL372</f>
        <v>0</v>
      </c>
      <c r="AP435" s="34">
        <f>+AN435+AO435</f>
        <v>0</v>
      </c>
      <c r="AQ435" s="34">
        <f t="shared" si="74"/>
        <v>355437.57330000005</v>
      </c>
      <c r="AR435" s="34">
        <f t="shared" si="75"/>
        <v>891761.47069999995</v>
      </c>
      <c r="AS435" s="34">
        <f t="shared" si="69"/>
        <v>522779.48492999992</v>
      </c>
    </row>
    <row r="436" spans="1:45" x14ac:dyDescent="0.2">
      <c r="A436" s="18"/>
      <c r="C436" s="17" t="s">
        <v>54</v>
      </c>
      <c r="D436" s="19">
        <f>195860.51/1000</f>
        <v>195.86051</v>
      </c>
      <c r="E436" s="19">
        <f>[1]TOBEPAID!E326/1000</f>
        <v>0</v>
      </c>
      <c r="F436" s="19">
        <f>[1]TOBEPAID!F326/1000</f>
        <v>0</v>
      </c>
      <c r="G436" s="19">
        <f>[1]TOBEPAID!G326/1000</f>
        <v>0</v>
      </c>
      <c r="H436" s="19">
        <v>0</v>
      </c>
      <c r="I436" s="19">
        <f>[1]TOBEPAID!I326/1000</f>
        <v>0</v>
      </c>
      <c r="J436" s="19">
        <f>[1]TOBEPAID!J326/1000</f>
        <v>0</v>
      </c>
      <c r="K436" s="19">
        <f>[1]TOBEPAID!K326/1000</f>
        <v>0</v>
      </c>
      <c r="L436" s="19">
        <f>[1]TOBEPAID!L326/1000</f>
        <v>0</v>
      </c>
      <c r="M436" s="19">
        <f>[1]TOBEPAID!M326/1000</f>
        <v>0</v>
      </c>
      <c r="N436" s="19">
        <f>[1]TOBEPAID!N326/1000</f>
        <v>0</v>
      </c>
      <c r="O436" s="19">
        <f>[1]TOBEPAID!O326/1000</f>
        <v>195.86051</v>
      </c>
      <c r="P436" s="19">
        <f>[1]TOBEPAID!P326/1000</f>
        <v>0</v>
      </c>
      <c r="Q436" s="19">
        <f>[1]TOBEPAID!Q326/1000</f>
        <v>0</v>
      </c>
      <c r="R436" s="19">
        <f>195860/1000</f>
        <v>195.86</v>
      </c>
      <c r="S436" s="19">
        <f>[1]TOBEPAID!S326/1000</f>
        <v>0</v>
      </c>
      <c r="T436" s="19">
        <f>[1]TOBEPAID!T326/1000</f>
        <v>0</v>
      </c>
      <c r="U436" s="19">
        <f>[1]TOBEPAID!U326/1000</f>
        <v>0</v>
      </c>
      <c r="V436" s="19">
        <f>[1]TOBEPAID!V326/1000</f>
        <v>0</v>
      </c>
      <c r="W436" s="19">
        <f>[1]TOBEPAID!W326/1000</f>
        <v>0</v>
      </c>
      <c r="X436" s="19">
        <f>[1]TOBEPAID!X326/1000</f>
        <v>195.86051</v>
      </c>
      <c r="Y436" s="19">
        <f t="shared" si="76"/>
        <v>195.86</v>
      </c>
      <c r="Z436" s="19">
        <f t="shared" si="70"/>
        <v>5.0999999999135071E-4</v>
      </c>
      <c r="AA436" s="19">
        <f>[1]TOBEPAID!AA326/1000</f>
        <v>195.86051</v>
      </c>
      <c r="AB436" s="19">
        <f>[1]TOBEPAID!AB326/1000</f>
        <v>53309.319340000002</v>
      </c>
      <c r="AC436" s="19"/>
      <c r="AD436" s="19"/>
      <c r="AE436" s="25" t="s">
        <v>67</v>
      </c>
      <c r="AF436" s="34">
        <f>D270+D290+D300+D316+D329+D343+D353+D366+D396+D404+D418+D429+D443</f>
        <v>566959.08251999994</v>
      </c>
      <c r="AG436" s="34">
        <f>E270+E290+E300+E316+E329+E343+E353+E366+E396+E404+E418+E429+E443</f>
        <v>13000</v>
      </c>
      <c r="AH436" s="34">
        <f>+F316+F329</f>
        <v>0</v>
      </c>
      <c r="AI436" s="34">
        <f t="shared" si="71"/>
        <v>13000</v>
      </c>
      <c r="AJ436" s="34">
        <f>L270+L290+L300+L316+L329+L343+L353+L366+L396+L404+L418+L429+L443</f>
        <v>0</v>
      </c>
      <c r="AK436" s="34">
        <f t="shared" si="72"/>
        <v>13000</v>
      </c>
      <c r="AL436" s="34">
        <f>O270+O290+O300+O316+O329+O343+O353+O366+O396+O404+O418+O429+O443</f>
        <v>31179.597590000001</v>
      </c>
      <c r="AM436" s="34">
        <f>P270+P290+P300+P316+P329+P343+P353+P366+P396+P404+P418+P429+P443</f>
        <v>0</v>
      </c>
      <c r="AN436" s="34">
        <f>+AL436+AM436</f>
        <v>31179.597590000001</v>
      </c>
      <c r="AO436" s="34">
        <f>V270+V290+V300+V316+V329+V343+V353+V366+V396+V404+V418+V429+V443</f>
        <v>0</v>
      </c>
      <c r="AP436" s="34">
        <f>+AN436+AO436</f>
        <v>31179.597590000001</v>
      </c>
      <c r="AQ436" s="34">
        <f t="shared" si="74"/>
        <v>44179.597590000005</v>
      </c>
      <c r="AR436" s="34">
        <f t="shared" si="75"/>
        <v>522779.48492999992</v>
      </c>
      <c r="AS436" s="34">
        <f t="shared" si="69"/>
        <v>-3.4799999993992969E-3</v>
      </c>
    </row>
    <row r="437" spans="1:45" x14ac:dyDescent="0.2">
      <c r="A437" s="18"/>
      <c r="C437" s="17" t="s">
        <v>55</v>
      </c>
      <c r="D437" s="19">
        <v>0</v>
      </c>
      <c r="E437" s="19">
        <f>[1]TOBEPAID!E327/1000</f>
        <v>0</v>
      </c>
      <c r="F437" s="19">
        <f>[1]TOBEPAID!F327/1000</f>
        <v>0</v>
      </c>
      <c r="G437" s="19">
        <f>[1]TOBEPAID!G327/1000</f>
        <v>0</v>
      </c>
      <c r="H437" s="19">
        <v>0</v>
      </c>
      <c r="I437" s="19">
        <f>[1]TOBEPAID!I327/1000</f>
        <v>0</v>
      </c>
      <c r="J437" s="19">
        <f>[1]TOBEPAID!J327/1000</f>
        <v>0</v>
      </c>
      <c r="K437" s="19">
        <f>[1]TOBEPAID!K327/1000</f>
        <v>0</v>
      </c>
      <c r="L437" s="19">
        <f>[1]TOBEPAID!L327/1000</f>
        <v>0</v>
      </c>
      <c r="M437" s="19">
        <f>[1]TOBEPAID!M327/1000</f>
        <v>0</v>
      </c>
      <c r="N437" s="19">
        <f>[1]TOBEPAID!N327/1000</f>
        <v>0</v>
      </c>
      <c r="O437" s="19">
        <f>[1]TOBEPAID!O327/1000</f>
        <v>0</v>
      </c>
      <c r="P437" s="19">
        <f>[1]TOBEPAID!P327/1000</f>
        <v>0</v>
      </c>
      <c r="Q437" s="19">
        <f>[1]TOBEPAID!Q327/1000</f>
        <v>0</v>
      </c>
      <c r="R437" s="19">
        <v>0</v>
      </c>
      <c r="S437" s="19">
        <f>[1]TOBEPAID!S327/1000</f>
        <v>0</v>
      </c>
      <c r="T437" s="19">
        <f>[1]TOBEPAID!T327/1000</f>
        <v>0</v>
      </c>
      <c r="U437" s="19">
        <f>[1]TOBEPAID!U327/1000</f>
        <v>0</v>
      </c>
      <c r="V437" s="19">
        <f>[1]TOBEPAID!V327/1000</f>
        <v>0</v>
      </c>
      <c r="W437" s="19">
        <f>[1]TOBEPAID!W327/1000</f>
        <v>0</v>
      </c>
      <c r="X437" s="19">
        <f>[1]TOBEPAID!X327/1000</f>
        <v>0</v>
      </c>
      <c r="Y437" s="19">
        <f t="shared" si="76"/>
        <v>0</v>
      </c>
      <c r="Z437" s="19">
        <f t="shared" si="70"/>
        <v>0</v>
      </c>
      <c r="AA437" s="19">
        <f>[1]TOBEPAID!AA327/1000</f>
        <v>0</v>
      </c>
      <c r="AB437" s="19">
        <f>[1]TOBEPAID!AB327/1000</f>
        <v>12000</v>
      </c>
      <c r="AC437" s="19"/>
      <c r="AD437" s="19"/>
      <c r="AE437" s="25" t="s">
        <v>85</v>
      </c>
      <c r="AF437" s="34">
        <f>D271+D291+D305+D320+D330+D357+D367+D406+D419+D435</f>
        <v>51002.371919999998</v>
      </c>
      <c r="AG437" s="34">
        <f>E271+E291+E305+E320+E330+E357+E367+E406+E419+E435</f>
        <v>51002.375399999997</v>
      </c>
      <c r="AH437" s="34">
        <f>F270+F290+F300+F353+F366+F404+F418+F429</f>
        <v>0</v>
      </c>
      <c r="AI437" s="34">
        <f t="shared" si="71"/>
        <v>51002.375399999997</v>
      </c>
      <c r="AJ437" s="34">
        <f>L271+L291+L305+L320+L330+L357+L367+L406+L419+L435</f>
        <v>0</v>
      </c>
      <c r="AK437" s="34">
        <f t="shared" si="72"/>
        <v>51002.375399999997</v>
      </c>
      <c r="AL437" s="34">
        <f>O271+O291+O305+O320+O330+O357+O367+O406+O419+O435</f>
        <v>0</v>
      </c>
      <c r="AM437" s="34">
        <f>P271+P291+P305+P320+P330+P357+P367+P406+P419+P435</f>
        <v>0</v>
      </c>
      <c r="AN437" s="34">
        <f t="shared" ref="AN437:AN451" si="77">+AL437+AM437</f>
        <v>0</v>
      </c>
      <c r="AO437" s="34">
        <f>V271+V291+V305+V320+V330+V357+V367+V406+V419+V435</f>
        <v>0</v>
      </c>
      <c r="AP437" s="34">
        <f t="shared" ref="AP437:AP451" si="78">+AN437+AO437</f>
        <v>0</v>
      </c>
      <c r="AQ437" s="34">
        <f t="shared" si="74"/>
        <v>51002.375399999997</v>
      </c>
      <c r="AR437" s="34">
        <f t="shared" si="75"/>
        <v>-3.4799999993992969E-3</v>
      </c>
      <c r="AS437" s="34">
        <f t="shared" si="69"/>
        <v>67248.699639999992</v>
      </c>
    </row>
    <row r="438" spans="1:45" x14ac:dyDescent="0.2">
      <c r="A438" s="18"/>
      <c r="C438" s="31" t="s">
        <v>56</v>
      </c>
      <c r="D438" s="19">
        <f>626845/1000</f>
        <v>626.84500000000003</v>
      </c>
      <c r="E438" s="19">
        <f>[1]TOBEPAID!E328/1000</f>
        <v>0</v>
      </c>
      <c r="F438" s="19">
        <f>[1]TOBEPAID!F328/1000</f>
        <v>0</v>
      </c>
      <c r="G438" s="19">
        <f>[1]TOBEPAID!G328/1000</f>
        <v>0</v>
      </c>
      <c r="H438" s="19">
        <v>0</v>
      </c>
      <c r="I438" s="19">
        <f>[1]TOBEPAID!I328/1000</f>
        <v>0</v>
      </c>
      <c r="J438" s="19">
        <f>[1]TOBEPAID!J328/1000</f>
        <v>0</v>
      </c>
      <c r="K438" s="19">
        <f>[1]TOBEPAID!K328/1000</f>
        <v>0</v>
      </c>
      <c r="L438" s="19">
        <f>[1]TOBEPAID!L328/1000</f>
        <v>0</v>
      </c>
      <c r="M438" s="19">
        <f>[1]TOBEPAID!M328/1000</f>
        <v>0</v>
      </c>
      <c r="N438" s="19">
        <f>[1]TOBEPAID!N328/1000</f>
        <v>0</v>
      </c>
      <c r="O438" s="19">
        <f>[1]TOBEPAID!O328/1000</f>
        <v>626.84559999999999</v>
      </c>
      <c r="P438" s="19">
        <f>[1]TOBEPAID!P328/1000</f>
        <v>0</v>
      </c>
      <c r="Q438" s="19">
        <f>[1]TOBEPAID!Q328/1000</f>
        <v>0</v>
      </c>
      <c r="R438" s="19">
        <f>626845/1000</f>
        <v>626.84500000000003</v>
      </c>
      <c r="S438" s="19">
        <f>[1]TOBEPAID!S328/1000</f>
        <v>0</v>
      </c>
      <c r="T438" s="19">
        <f>[1]TOBEPAID!T328/1000</f>
        <v>0</v>
      </c>
      <c r="U438" s="19">
        <f>[1]TOBEPAID!U328/1000</f>
        <v>0</v>
      </c>
      <c r="V438" s="19">
        <f>[1]TOBEPAID!V328/1000</f>
        <v>0</v>
      </c>
      <c r="W438" s="19">
        <f>[1]TOBEPAID!W328/1000</f>
        <v>0</v>
      </c>
      <c r="X438" s="19">
        <f>[1]TOBEPAID!X328/1000</f>
        <v>626.84559999999999</v>
      </c>
      <c r="Y438" s="19">
        <f t="shared" si="76"/>
        <v>626.84500000000003</v>
      </c>
      <c r="Z438" s="19">
        <f t="shared" si="70"/>
        <v>0</v>
      </c>
      <c r="AA438" s="19">
        <f>[1]TOBEPAID!AA328/1000</f>
        <v>626.84559999999999</v>
      </c>
      <c r="AB438" s="19">
        <f>[1]TOBEPAID!AB328/1000</f>
        <v>2241.3771599999995</v>
      </c>
      <c r="AC438" s="19"/>
      <c r="AD438" s="19"/>
      <c r="AE438" s="25" t="s">
        <v>52</v>
      </c>
      <c r="AF438" s="34">
        <f>D283+D336+D397+D408+D436+D445</f>
        <v>70835.137579999995</v>
      </c>
      <c r="AG438" s="34">
        <f>E283+E336+E397+E408+E436+E445</f>
        <v>0</v>
      </c>
      <c r="AH438" s="34">
        <f>F271+F335+F396+F407+F435+F444</f>
        <v>0</v>
      </c>
      <c r="AI438" s="34">
        <f t="shared" si="71"/>
        <v>0</v>
      </c>
      <c r="AJ438" s="34">
        <f>L283+L336+L397+L408+L436+L445</f>
        <v>0</v>
      </c>
      <c r="AK438" s="34">
        <f t="shared" si="72"/>
        <v>0</v>
      </c>
      <c r="AL438" s="34">
        <f>O283+O336+O397+O408+O436+O445</f>
        <v>3586.4379400000003</v>
      </c>
      <c r="AM438" s="34">
        <f>P283+P336+P397+P408+P436+P445</f>
        <v>0</v>
      </c>
      <c r="AN438" s="34">
        <f t="shared" si="77"/>
        <v>3586.4379400000003</v>
      </c>
      <c r="AO438" s="34">
        <f>V283+V336+V397+V408+V436+V445</f>
        <v>0</v>
      </c>
      <c r="AP438" s="34">
        <f t="shared" si="78"/>
        <v>3586.4379400000003</v>
      </c>
      <c r="AQ438" s="34">
        <f t="shared" si="74"/>
        <v>3586.4379400000003</v>
      </c>
      <c r="AR438" s="34">
        <f t="shared" si="75"/>
        <v>67248.699639999992</v>
      </c>
      <c r="AS438" s="34">
        <f t="shared" si="69"/>
        <v>11956.203769999998</v>
      </c>
    </row>
    <row r="439" spans="1:45" x14ac:dyDescent="0.2">
      <c r="A439" s="18"/>
      <c r="B439" s="9"/>
      <c r="D439" s="21" t="s">
        <v>57</v>
      </c>
      <c r="E439" s="21" t="s">
        <v>57</v>
      </c>
      <c r="F439" s="21" t="s">
        <v>57</v>
      </c>
      <c r="G439" s="21"/>
      <c r="H439" s="21" t="s">
        <v>57</v>
      </c>
      <c r="I439" s="21" t="s">
        <v>57</v>
      </c>
      <c r="J439" s="21" t="s">
        <v>57</v>
      </c>
      <c r="K439" s="21" t="s">
        <v>57</v>
      </c>
      <c r="L439" s="21" t="s">
        <v>57</v>
      </c>
      <c r="M439" s="21"/>
      <c r="N439" s="21" t="s">
        <v>57</v>
      </c>
      <c r="O439" s="21" t="s">
        <v>57</v>
      </c>
      <c r="P439" s="21" t="s">
        <v>57</v>
      </c>
      <c r="Q439" s="21"/>
      <c r="R439" s="21" t="s">
        <v>57</v>
      </c>
      <c r="S439" s="21" t="s">
        <v>57</v>
      </c>
      <c r="T439" s="21" t="s">
        <v>57</v>
      </c>
      <c r="U439" s="21" t="s">
        <v>57</v>
      </c>
      <c r="V439" s="21" t="s">
        <v>57</v>
      </c>
      <c r="W439" s="21"/>
      <c r="X439" s="21" t="s">
        <v>57</v>
      </c>
      <c r="Y439" s="21" t="s">
        <v>57</v>
      </c>
      <c r="Z439" s="21" t="s">
        <v>57</v>
      </c>
      <c r="AA439" s="21" t="s">
        <v>57</v>
      </c>
      <c r="AB439" s="21" t="s">
        <v>57</v>
      </c>
      <c r="AC439" s="21"/>
      <c r="AD439" s="21"/>
      <c r="AE439" s="25" t="s">
        <v>87</v>
      </c>
      <c r="AF439" s="34">
        <f>D285+D337+D399+D411+D438+D449</f>
        <v>12583.049369999999</v>
      </c>
      <c r="AG439" s="34">
        <f>E285+E337+E399+E411+E438+E449</f>
        <v>0</v>
      </c>
      <c r="AH439" s="34">
        <f>F284+F336+F398+F410+F437+F448</f>
        <v>0</v>
      </c>
      <c r="AI439" s="34">
        <f t="shared" si="71"/>
        <v>0</v>
      </c>
      <c r="AJ439" s="34">
        <f>L285+L337+L399+L411+L438+L449</f>
        <v>0</v>
      </c>
      <c r="AK439" s="34">
        <f t="shared" si="72"/>
        <v>0</v>
      </c>
      <c r="AL439" s="34">
        <f>O285+O337+O399+O411+O438+O449</f>
        <v>626.84559999999999</v>
      </c>
      <c r="AM439" s="34">
        <f>P285+P337+P399+P411+P438+P449</f>
        <v>0</v>
      </c>
      <c r="AN439" s="34">
        <f t="shared" si="77"/>
        <v>626.84559999999999</v>
      </c>
      <c r="AO439" s="34">
        <f>V285+V337+V399+V411+V438+V449</f>
        <v>0</v>
      </c>
      <c r="AP439" s="34">
        <f t="shared" si="78"/>
        <v>626.84559999999999</v>
      </c>
      <c r="AQ439" s="34">
        <f t="shared" si="74"/>
        <v>626.84559999999999</v>
      </c>
      <c r="AR439" s="34">
        <f t="shared" si="75"/>
        <v>11956.203769999998</v>
      </c>
      <c r="AS439" s="34">
        <f t="shared" si="69"/>
        <v>7853.9998000000005</v>
      </c>
    </row>
    <row r="440" spans="1:45" x14ac:dyDescent="0.2">
      <c r="A440" s="18"/>
      <c r="D440" s="19">
        <f>SUM(D429:D438)</f>
        <v>438860.67451000004</v>
      </c>
      <c r="E440" s="19">
        <f>SUM(E429:E438)</f>
        <v>56940.255669999999</v>
      </c>
      <c r="F440" s="19">
        <f>SUM(F429:F438)</f>
        <v>17500</v>
      </c>
      <c r="G440" s="19"/>
      <c r="H440" s="19">
        <f>SUM(H429:H438)</f>
        <v>431567.44000000006</v>
      </c>
      <c r="I440" s="19">
        <f>SUM(I429:I438)</f>
        <v>0</v>
      </c>
      <c r="J440" s="19">
        <f>SUM(J429:J438)</f>
        <v>0</v>
      </c>
      <c r="K440" s="19">
        <f>SUM(K429:K438)</f>
        <v>0</v>
      </c>
      <c r="L440" s="19">
        <f>SUM(L429:L438)</f>
        <v>0</v>
      </c>
      <c r="M440" s="19"/>
      <c r="N440" s="19">
        <f>SUM(N429:N438)</f>
        <v>74440.255669999999</v>
      </c>
      <c r="O440" s="19">
        <f>SUM(O429:O438)</f>
        <v>6256.6653000000006</v>
      </c>
      <c r="P440" s="19">
        <f>SUM(P429:P438)</f>
        <v>0</v>
      </c>
      <c r="Q440" s="19"/>
      <c r="R440" s="19">
        <f>SUM(R429:R438)</f>
        <v>6307.3180000000002</v>
      </c>
      <c r="S440" s="19">
        <f>SUM(S429:S438)</f>
        <v>1479.7539999999999</v>
      </c>
      <c r="T440" s="19">
        <f>SUM(T429:T438)</f>
        <v>0</v>
      </c>
      <c r="U440" s="19">
        <f>SUM(U429:U438)</f>
        <v>0</v>
      </c>
      <c r="V440" s="19">
        <f>SUM(V429:V438)</f>
        <v>0</v>
      </c>
      <c r="W440" s="19"/>
      <c r="X440" s="19">
        <f>SUM(X429:X438)</f>
        <v>6256.6653000000006</v>
      </c>
      <c r="Y440" s="19">
        <f>SUM(Y429:Y438)</f>
        <v>437874.75800000003</v>
      </c>
      <c r="Z440" s="19">
        <f>SUM(Z429:Z438)</f>
        <v>985.9165099999974</v>
      </c>
      <c r="AA440" s="19">
        <f>SUM(AA429:AA438)</f>
        <v>80696.920969999992</v>
      </c>
      <c r="AB440" s="19">
        <f>SUM(AB429:AB438)</f>
        <v>68536.570800000016</v>
      </c>
      <c r="AC440" s="19"/>
      <c r="AD440" s="19"/>
      <c r="AE440" s="25" t="s">
        <v>88</v>
      </c>
      <c r="AF440" s="34">
        <f>D284+D398+D410+D437+D448</f>
        <v>7995.3450000000003</v>
      </c>
      <c r="AG440" s="34">
        <f>E284+E398+E410+E437+E448</f>
        <v>0</v>
      </c>
      <c r="AH440" s="34">
        <f>F283+F397+F408+F436+F445</f>
        <v>0</v>
      </c>
      <c r="AI440" s="34">
        <f t="shared" si="71"/>
        <v>0</v>
      </c>
      <c r="AJ440" s="34">
        <f>L284+L398+L410+L437+L448</f>
        <v>0</v>
      </c>
      <c r="AK440" s="34">
        <f t="shared" si="72"/>
        <v>0</v>
      </c>
      <c r="AL440" s="34">
        <f>O284+O398+O410+O437+O448</f>
        <v>141.34520000000001</v>
      </c>
      <c r="AM440" s="34">
        <f>P284+P398+P410+P437+P448</f>
        <v>0</v>
      </c>
      <c r="AN440" s="34">
        <f t="shared" si="77"/>
        <v>141.34520000000001</v>
      </c>
      <c r="AO440" s="34">
        <f>V284+V398+V410+V437+V448</f>
        <v>0</v>
      </c>
      <c r="AP440" s="34">
        <f t="shared" si="78"/>
        <v>141.34520000000001</v>
      </c>
      <c r="AQ440" s="34">
        <f t="shared" si="74"/>
        <v>141.34520000000001</v>
      </c>
      <c r="AR440" s="34">
        <f t="shared" si="75"/>
        <v>7853.9998000000005</v>
      </c>
      <c r="AS440" s="34">
        <f t="shared" si="69"/>
        <v>0</v>
      </c>
    </row>
    <row r="441" spans="1:45" x14ac:dyDescent="0.2">
      <c r="A441" s="18"/>
      <c r="D441" s="21" t="s">
        <v>57</v>
      </c>
      <c r="E441" s="21" t="s">
        <v>57</v>
      </c>
      <c r="F441" s="21" t="s">
        <v>57</v>
      </c>
      <c r="G441" s="21"/>
      <c r="H441" s="21" t="s">
        <v>57</v>
      </c>
      <c r="I441" s="21" t="s">
        <v>57</v>
      </c>
      <c r="J441" s="21" t="s">
        <v>57</v>
      </c>
      <c r="K441" s="21" t="s">
        <v>57</v>
      </c>
      <c r="L441" s="21" t="s">
        <v>57</v>
      </c>
      <c r="M441" s="21"/>
      <c r="N441" s="21" t="s">
        <v>57</v>
      </c>
      <c r="O441" s="21" t="s">
        <v>57</v>
      </c>
      <c r="P441" s="21" t="s">
        <v>57</v>
      </c>
      <c r="Q441" s="21"/>
      <c r="R441" s="21" t="s">
        <v>57</v>
      </c>
      <c r="S441" s="21" t="s">
        <v>57</v>
      </c>
      <c r="T441" s="21" t="s">
        <v>57</v>
      </c>
      <c r="U441" s="21" t="s">
        <v>57</v>
      </c>
      <c r="V441" s="21" t="s">
        <v>57</v>
      </c>
      <c r="W441" s="21"/>
      <c r="X441" s="21" t="s">
        <v>57</v>
      </c>
      <c r="Y441" s="21" t="s">
        <v>57</v>
      </c>
      <c r="Z441" s="21" t="s">
        <v>57</v>
      </c>
      <c r="AA441" s="21" t="s">
        <v>57</v>
      </c>
      <c r="AB441" s="21" t="s">
        <v>57</v>
      </c>
      <c r="AC441" s="21"/>
      <c r="AD441" s="21"/>
      <c r="AE441" s="25" t="s">
        <v>55</v>
      </c>
      <c r="AF441" s="34">
        <f>+D420</f>
        <v>8840</v>
      </c>
      <c r="AG441" s="34">
        <f>+E420</f>
        <v>8840</v>
      </c>
      <c r="AH441" s="34">
        <f>+F419</f>
        <v>0</v>
      </c>
      <c r="AI441" s="34">
        <f t="shared" si="71"/>
        <v>8840</v>
      </c>
      <c r="AJ441" s="34">
        <f>+L420</f>
        <v>0</v>
      </c>
      <c r="AK441" s="34">
        <f t="shared" si="72"/>
        <v>8840</v>
      </c>
      <c r="AL441" s="34">
        <f>+O420</f>
        <v>0</v>
      </c>
      <c r="AM441" s="34">
        <f>+P420</f>
        <v>0</v>
      </c>
      <c r="AN441" s="34">
        <f t="shared" si="77"/>
        <v>0</v>
      </c>
      <c r="AO441" s="34">
        <f>+V420</f>
        <v>0</v>
      </c>
      <c r="AP441" s="34">
        <f t="shared" si="78"/>
        <v>0</v>
      </c>
      <c r="AQ441" s="34">
        <f t="shared" si="74"/>
        <v>8840</v>
      </c>
      <c r="AR441" s="34">
        <f t="shared" si="75"/>
        <v>0</v>
      </c>
      <c r="AS441" s="34">
        <f t="shared" si="69"/>
        <v>-1.1899999990419019E-3</v>
      </c>
    </row>
    <row r="442" spans="1:45" x14ac:dyDescent="0.2"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5" t="s">
        <v>192</v>
      </c>
      <c r="AF442" s="34">
        <f>D293+D307+D322+D335+D348</f>
        <v>25796.766770000002</v>
      </c>
      <c r="AG442" s="34">
        <f>E293+E307+E322+E335+E348</f>
        <v>25796.767960000001</v>
      </c>
      <c r="AH442" s="34">
        <f>F292+F306+F321+F331+F343</f>
        <v>0</v>
      </c>
      <c r="AI442" s="34">
        <f t="shared" si="71"/>
        <v>25796.767960000001</v>
      </c>
      <c r="AJ442" s="34">
        <f>L293+L307+L322+L335+L348</f>
        <v>0</v>
      </c>
      <c r="AK442" s="34">
        <f t="shared" si="72"/>
        <v>25796.767960000001</v>
      </c>
      <c r="AL442" s="34">
        <f>O293+O307+O322+O335+O348</f>
        <v>0</v>
      </c>
      <c r="AM442" s="34">
        <f>P293+P307+P322+P335+P348</f>
        <v>0</v>
      </c>
      <c r="AN442" s="34">
        <f t="shared" si="77"/>
        <v>0</v>
      </c>
      <c r="AO442" s="34">
        <f>V293+V307+V322+V335+V348</f>
        <v>0</v>
      </c>
      <c r="AP442" s="34">
        <f t="shared" si="78"/>
        <v>0</v>
      </c>
      <c r="AQ442" s="34">
        <f t="shared" si="74"/>
        <v>25796.767960000001</v>
      </c>
      <c r="AR442" s="34">
        <f t="shared" si="75"/>
        <v>-1.1899999990419019E-3</v>
      </c>
      <c r="AS442" s="34">
        <f t="shared" si="69"/>
        <v>-6.2999999499879777E-4</v>
      </c>
    </row>
    <row r="443" spans="1:45" x14ac:dyDescent="0.2">
      <c r="A443" s="18">
        <v>31</v>
      </c>
      <c r="B443" s="17" t="s">
        <v>198</v>
      </c>
      <c r="C443" s="17" t="s">
        <v>51</v>
      </c>
      <c r="D443" s="19">
        <f>197515116.45/1000</f>
        <v>197515.11645</v>
      </c>
      <c r="E443" s="19">
        <f>[1]TOBEPAID!E333/1000</f>
        <v>0</v>
      </c>
      <c r="F443" s="19">
        <f>[1]TOBEPAID!F333/1000</f>
        <v>0</v>
      </c>
      <c r="G443" s="19">
        <f>[1]TOBEPAID!G333/1000</f>
        <v>0</v>
      </c>
      <c r="H443" s="19">
        <f>62690213.11/1000</f>
        <v>62690.213109999997</v>
      </c>
      <c r="I443" s="19">
        <f>[1]TOBEPAID!I333/1000</f>
        <v>0</v>
      </c>
      <c r="J443" s="19">
        <f>[1]TOBEPAID!J333/1000</f>
        <v>0</v>
      </c>
      <c r="K443" s="19">
        <f>[1]TOBEPAID!K333/1000</f>
        <v>0</v>
      </c>
      <c r="L443" s="19">
        <f>[1]TOBEPAID!L333/1000</f>
        <v>0</v>
      </c>
      <c r="M443" s="19">
        <f>[1]TOBEPAID!M333/1000</f>
        <v>0</v>
      </c>
      <c r="N443" s="19">
        <f>[1]TOBEPAID!N333/1000</f>
        <v>0</v>
      </c>
      <c r="O443" s="19">
        <f>[1]TOBEPAID!O333/1000</f>
        <v>0</v>
      </c>
      <c r="P443" s="19">
        <f>[1]TOBEPAID!P333/1000</f>
        <v>0</v>
      </c>
      <c r="Q443" s="19">
        <f>[1]TOBEPAID!Q333/1000</f>
        <v>0</v>
      </c>
      <c r="R443" s="19">
        <v>0</v>
      </c>
      <c r="S443" s="19">
        <f>[1]TOBEPAID!S333/1000</f>
        <v>0</v>
      </c>
      <c r="T443" s="19">
        <f>[1]TOBEPAID!T333/1000</f>
        <v>0</v>
      </c>
      <c r="U443" s="19">
        <f>[1]TOBEPAID!U333/1000</f>
        <v>0</v>
      </c>
      <c r="V443" s="19">
        <f>[1]TOBEPAID!V333/1000</f>
        <v>0</v>
      </c>
      <c r="W443" s="19">
        <f>[1]TOBEPAID!W333/1000</f>
        <v>0</v>
      </c>
      <c r="X443" s="19">
        <f>[1]TOBEPAID!X333/1000</f>
        <v>0</v>
      </c>
      <c r="Y443" s="19">
        <f t="shared" ref="Y443:Y449" si="79">+H443+R443</f>
        <v>62690.213109999997</v>
      </c>
      <c r="Z443" s="19">
        <f t="shared" ref="Z443:Z449" si="80">+D443-Y443</f>
        <v>134824.90334000002</v>
      </c>
      <c r="AA443" s="19">
        <f>[1]TOBEPAID!AA333/1000</f>
        <v>0</v>
      </c>
      <c r="AB443" s="19">
        <f>[1]TOBEPAID!AB333/1000</f>
        <v>54449.18058</v>
      </c>
      <c r="AC443" s="19"/>
      <c r="AD443" s="19"/>
      <c r="AE443" s="25" t="s">
        <v>199</v>
      </c>
      <c r="AF443" s="34">
        <f>D306+D321+D331+D358+D375+D421</f>
        <v>191367.10699999999</v>
      </c>
      <c r="AG443" s="34">
        <f>E306+E321+E331+E358+E375+E421</f>
        <v>191367.10762999998</v>
      </c>
      <c r="AH443" s="34">
        <f>F305+F320+F330+F357+F374+F420</f>
        <v>0</v>
      </c>
      <c r="AI443" s="34">
        <f t="shared" si="71"/>
        <v>191367.10762999998</v>
      </c>
      <c r="AJ443" s="34">
        <f>L306+L321+L331+L358+L375+L421</f>
        <v>0</v>
      </c>
      <c r="AK443" s="34">
        <f t="shared" si="72"/>
        <v>191367.10762999998</v>
      </c>
      <c r="AL443" s="34">
        <f>O306+O321+O331+O358+O375+O421</f>
        <v>0</v>
      </c>
      <c r="AM443" s="34">
        <f>P306+P321+P331+P358+P375+P421</f>
        <v>0</v>
      </c>
      <c r="AN443" s="34">
        <f t="shared" si="77"/>
        <v>0</v>
      </c>
      <c r="AO443" s="34">
        <f>V306+V321+V331+V358+V375+V421</f>
        <v>0</v>
      </c>
      <c r="AP443" s="34">
        <f t="shared" si="78"/>
        <v>0</v>
      </c>
      <c r="AQ443" s="34">
        <f t="shared" si="74"/>
        <v>191367.10762999998</v>
      </c>
      <c r="AR443" s="34">
        <f t="shared" si="75"/>
        <v>-6.2999999499879777E-4</v>
      </c>
      <c r="AS443" s="34">
        <f t="shared" si="69"/>
        <v>0</v>
      </c>
    </row>
    <row r="444" spans="1:45" x14ac:dyDescent="0.2">
      <c r="A444" s="18"/>
      <c r="C444" s="17" t="s">
        <v>200</v>
      </c>
      <c r="D444" s="19">
        <v>0</v>
      </c>
      <c r="E444" s="19">
        <f>[1]TOBEPAID!E334/1000</f>
        <v>0</v>
      </c>
      <c r="F444" s="19">
        <f>[1]TOBEPAID!F334/1000</f>
        <v>0</v>
      </c>
      <c r="G444" s="19">
        <f>[1]TOBEPAID!G334/1000</f>
        <v>0</v>
      </c>
      <c r="H444" s="19">
        <v>0</v>
      </c>
      <c r="I444" s="19">
        <f>[1]TOBEPAID!I334/1000</f>
        <v>0</v>
      </c>
      <c r="J444" s="19">
        <f>[1]TOBEPAID!J334/1000</f>
        <v>0</v>
      </c>
      <c r="K444" s="19">
        <f>[1]TOBEPAID!K334/1000</f>
        <v>0</v>
      </c>
      <c r="L444" s="19">
        <f>[1]TOBEPAID!L334/1000</f>
        <v>0</v>
      </c>
      <c r="M444" s="19">
        <f>[1]TOBEPAID!M334/1000</f>
        <v>0</v>
      </c>
      <c r="N444" s="19">
        <f>[1]TOBEPAID!N334/1000</f>
        <v>0</v>
      </c>
      <c r="O444" s="19">
        <f>[1]TOBEPAID!O334/1000</f>
        <v>0</v>
      </c>
      <c r="P444" s="19">
        <f>[1]TOBEPAID!P334/1000</f>
        <v>0</v>
      </c>
      <c r="Q444" s="19">
        <f>[1]TOBEPAID!Q334/1000</f>
        <v>0</v>
      </c>
      <c r="R444" s="19">
        <v>0</v>
      </c>
      <c r="S444" s="19">
        <f>[1]TOBEPAID!S334/1000</f>
        <v>0</v>
      </c>
      <c r="T444" s="19">
        <f>[1]TOBEPAID!T334/1000</f>
        <v>0</v>
      </c>
      <c r="U444" s="19">
        <f>[1]TOBEPAID!U334/1000</f>
        <v>0</v>
      </c>
      <c r="V444" s="19">
        <f>[1]TOBEPAID!V334/1000</f>
        <v>0</v>
      </c>
      <c r="W444" s="19">
        <f>[1]TOBEPAID!W334/1000</f>
        <v>0</v>
      </c>
      <c r="X444" s="19">
        <f>[1]TOBEPAID!X334/1000</f>
        <v>0</v>
      </c>
      <c r="Y444" s="19">
        <f t="shared" si="79"/>
        <v>0</v>
      </c>
      <c r="Z444" s="19">
        <f t="shared" si="80"/>
        <v>0</v>
      </c>
      <c r="AA444" s="19">
        <f>[1]TOBEPAID!AA334/1000</f>
        <v>0</v>
      </c>
      <c r="AB444" s="19">
        <f>[1]TOBEPAID!AB334/1000</f>
        <v>1872.4170100000001</v>
      </c>
      <c r="AC444" s="19"/>
      <c r="AD444" s="19"/>
      <c r="AE444" s="25" t="s">
        <v>170</v>
      </c>
      <c r="AF444" s="34">
        <f>D292+D374+D407</f>
        <v>116031</v>
      </c>
      <c r="AG444" s="34">
        <f>E292+E374+E407</f>
        <v>116031</v>
      </c>
      <c r="AH444" s="34">
        <f>F291+F367+F406</f>
        <v>0</v>
      </c>
      <c r="AI444" s="34">
        <f t="shared" si="71"/>
        <v>116031</v>
      </c>
      <c r="AJ444" s="34">
        <f>L292+L374+L407</f>
        <v>0</v>
      </c>
      <c r="AK444" s="34">
        <f t="shared" si="72"/>
        <v>116031</v>
      </c>
      <c r="AL444" s="34">
        <f>O292+O374+O407</f>
        <v>0</v>
      </c>
      <c r="AM444" s="34">
        <f>P292+P374+P407</f>
        <v>0</v>
      </c>
      <c r="AN444" s="34">
        <f t="shared" si="77"/>
        <v>0</v>
      </c>
      <c r="AO444" s="34">
        <f>V292+V374+V407</f>
        <v>0</v>
      </c>
      <c r="AP444" s="34">
        <f t="shared" si="78"/>
        <v>0</v>
      </c>
      <c r="AQ444" s="34">
        <f t="shared" si="74"/>
        <v>116031</v>
      </c>
      <c r="AR444" s="34">
        <f t="shared" si="75"/>
        <v>0</v>
      </c>
      <c r="AS444" s="34">
        <f t="shared" si="69"/>
        <v>655.52150999999992</v>
      </c>
    </row>
    <row r="445" spans="1:45" x14ac:dyDescent="0.2">
      <c r="A445" s="18"/>
      <c r="C445" s="17" t="s">
        <v>54</v>
      </c>
      <c r="D445" s="19">
        <f>595402.2/1000</f>
        <v>595.40219999999999</v>
      </c>
      <c r="E445" s="19">
        <f>[1]TOBEPAID!E335/1000</f>
        <v>0</v>
      </c>
      <c r="F445" s="19">
        <f>[1]TOBEPAID!F335/1000</f>
        <v>0</v>
      </c>
      <c r="G445" s="19">
        <f>[1]TOBEPAID!G335/1000</f>
        <v>0</v>
      </c>
      <c r="H445" s="19">
        <v>0</v>
      </c>
      <c r="I445" s="19">
        <f>[1]TOBEPAID!I335/1000</f>
        <v>0</v>
      </c>
      <c r="J445" s="19">
        <f>[1]TOBEPAID!J335/1000</f>
        <v>0</v>
      </c>
      <c r="K445" s="19">
        <f>[1]TOBEPAID!K335/1000</f>
        <v>0</v>
      </c>
      <c r="L445" s="19">
        <f>[1]TOBEPAID!L335/1000</f>
        <v>0</v>
      </c>
      <c r="M445" s="19">
        <f>[1]TOBEPAID!M335/1000</f>
        <v>0</v>
      </c>
      <c r="N445" s="19">
        <f>[1]TOBEPAID!N335/1000</f>
        <v>0</v>
      </c>
      <c r="O445" s="19">
        <f>[1]TOBEPAID!O335/1000</f>
        <v>595.40219999999999</v>
      </c>
      <c r="P445" s="19">
        <f>[1]TOBEPAID!P335/1000</f>
        <v>0</v>
      </c>
      <c r="Q445" s="19">
        <f>[1]TOBEPAID!Q335/1000</f>
        <v>0</v>
      </c>
      <c r="R445" s="19">
        <f>595402/1000</f>
        <v>595.40200000000004</v>
      </c>
      <c r="S445" s="19">
        <f>[1]TOBEPAID!S335/1000</f>
        <v>0</v>
      </c>
      <c r="T445" s="19">
        <f>[1]TOBEPAID!T335/1000</f>
        <v>0</v>
      </c>
      <c r="U445" s="19">
        <f>[1]TOBEPAID!U335/1000</f>
        <v>0</v>
      </c>
      <c r="V445" s="19">
        <f>[1]TOBEPAID!V335/1000</f>
        <v>0</v>
      </c>
      <c r="W445" s="19">
        <f>[1]TOBEPAID!W335/1000</f>
        <v>0</v>
      </c>
      <c r="X445" s="19">
        <f>[1]TOBEPAID!X335/1000</f>
        <v>595.40219999999999</v>
      </c>
      <c r="Y445" s="19">
        <f t="shared" si="79"/>
        <v>595.40200000000004</v>
      </c>
      <c r="Z445" s="19">
        <f t="shared" si="80"/>
        <v>1.9999999994979589E-4</v>
      </c>
      <c r="AA445" s="19">
        <f>[1]TOBEPAID!AA335/1000</f>
        <v>595.40219999999999</v>
      </c>
      <c r="AB445" s="19">
        <f>[1]TOBEPAID!AB335/1000</f>
        <v>95330.967709999997</v>
      </c>
      <c r="AC445" s="19"/>
      <c r="AD445" s="19"/>
      <c r="AE445" s="25" t="s">
        <v>201</v>
      </c>
      <c r="AF445" s="34">
        <f>+D412</f>
        <v>7039.799</v>
      </c>
      <c r="AG445" s="34">
        <f>+E412</f>
        <v>5549.05519</v>
      </c>
      <c r="AH445" s="34">
        <f>+F411</f>
        <v>0</v>
      </c>
      <c r="AI445" s="34">
        <f t="shared" si="71"/>
        <v>5549.05519</v>
      </c>
      <c r="AJ445" s="34">
        <f>+L412</f>
        <v>0</v>
      </c>
      <c r="AK445" s="34">
        <f t="shared" si="72"/>
        <v>5549.05519</v>
      </c>
      <c r="AL445" s="34">
        <f>+O412</f>
        <v>835.22230000000002</v>
      </c>
      <c r="AM445" s="34">
        <f>+P412</f>
        <v>0</v>
      </c>
      <c r="AN445" s="34">
        <f t="shared" si="77"/>
        <v>835.22230000000002</v>
      </c>
      <c r="AO445" s="34">
        <f>+V412</f>
        <v>0</v>
      </c>
      <c r="AP445" s="34">
        <f t="shared" si="78"/>
        <v>835.22230000000002</v>
      </c>
      <c r="AQ445" s="34">
        <f t="shared" si="74"/>
        <v>6384.2774900000004</v>
      </c>
      <c r="AR445" s="34">
        <f t="shared" si="75"/>
        <v>655.52150999999958</v>
      </c>
      <c r="AS445" s="34">
        <f>+AF448-AK448-AP448</f>
        <v>14632.388450000013</v>
      </c>
    </row>
    <row r="446" spans="1:45" x14ac:dyDescent="0.2">
      <c r="A446" s="18"/>
      <c r="C446" s="17" t="s">
        <v>66</v>
      </c>
      <c r="D446" s="19">
        <v>0</v>
      </c>
      <c r="E446" s="19"/>
      <c r="F446" s="19"/>
      <c r="G446" s="19"/>
      <c r="H446" s="19">
        <f>D446</f>
        <v>0</v>
      </c>
      <c r="I446" s="19"/>
      <c r="J446" s="19"/>
      <c r="K446" s="19"/>
      <c r="L446" s="19"/>
      <c r="M446" s="19"/>
      <c r="N446" s="19"/>
      <c r="O446" s="19"/>
      <c r="P446" s="19"/>
      <c r="Q446" s="19"/>
      <c r="R446" s="19">
        <v>0</v>
      </c>
      <c r="S446" s="19"/>
      <c r="T446" s="19"/>
      <c r="U446" s="19"/>
      <c r="V446" s="19"/>
      <c r="W446" s="19"/>
      <c r="X446" s="19"/>
      <c r="Y446" s="19">
        <f>+H446+R446</f>
        <v>0</v>
      </c>
      <c r="Z446" s="19">
        <f>+D446-Y446</f>
        <v>0</v>
      </c>
      <c r="AA446" s="19"/>
      <c r="AB446" s="19"/>
      <c r="AC446" s="19"/>
      <c r="AD446" s="19"/>
      <c r="AE446" s="25"/>
      <c r="AF446" s="34"/>
      <c r="AG446" s="34"/>
      <c r="AH446" s="34"/>
      <c r="AI446" s="34"/>
      <c r="AJ446" s="34"/>
      <c r="AK446" s="34"/>
      <c r="AL446" s="34"/>
      <c r="AM446" s="34"/>
      <c r="AN446" s="34"/>
      <c r="AO446" s="34"/>
      <c r="AP446" s="34"/>
      <c r="AQ446" s="34"/>
      <c r="AR446" s="34"/>
      <c r="AS446" s="34"/>
    </row>
    <row r="447" spans="1:45" x14ac:dyDescent="0.2">
      <c r="A447" s="18"/>
      <c r="C447" s="3" t="s">
        <v>67</v>
      </c>
      <c r="D447" s="19">
        <f>31469357.73/1000</f>
        <v>31469.35773</v>
      </c>
      <c r="E447" s="19"/>
      <c r="F447" s="19"/>
      <c r="G447" s="19"/>
      <c r="H447" s="19">
        <f>31469357/1000</f>
        <v>31469.357</v>
      </c>
      <c r="I447" s="19"/>
      <c r="J447" s="19"/>
      <c r="K447" s="19"/>
      <c r="L447" s="19"/>
      <c r="M447" s="19"/>
      <c r="N447" s="19"/>
      <c r="O447" s="19"/>
      <c r="P447" s="19"/>
      <c r="Q447" s="19"/>
      <c r="R447" s="19">
        <v>0</v>
      </c>
      <c r="S447" s="19"/>
      <c r="T447" s="19"/>
      <c r="U447" s="19"/>
      <c r="V447" s="19"/>
      <c r="W447" s="19"/>
      <c r="X447" s="19"/>
      <c r="Y447" s="19">
        <f t="shared" si="79"/>
        <v>31469.357</v>
      </c>
      <c r="Z447" s="19">
        <f t="shared" si="80"/>
        <v>7.299999997485429E-4</v>
      </c>
      <c r="AA447" s="19"/>
      <c r="AB447" s="19"/>
      <c r="AC447" s="19"/>
      <c r="AD447" s="19"/>
      <c r="AE447" s="25"/>
      <c r="AF447" s="34"/>
      <c r="AG447" s="34"/>
      <c r="AH447" s="34"/>
      <c r="AI447" s="34"/>
      <c r="AJ447" s="34"/>
      <c r="AK447" s="34"/>
      <c r="AL447" s="34"/>
      <c r="AM447" s="34"/>
      <c r="AN447" s="34"/>
      <c r="AO447" s="34"/>
      <c r="AP447" s="34"/>
      <c r="AQ447" s="34"/>
      <c r="AR447" s="34"/>
      <c r="AS447" s="34"/>
    </row>
    <row r="448" spans="1:45" x14ac:dyDescent="0.2">
      <c r="A448" s="18"/>
      <c r="C448" s="17" t="s">
        <v>55</v>
      </c>
      <c r="D448" s="19">
        <v>0</v>
      </c>
      <c r="E448" s="19">
        <f>[1]TOBEPAID!E336/1000</f>
        <v>0</v>
      </c>
      <c r="F448" s="19">
        <f>[1]TOBEPAID!F336/1000</f>
        <v>0</v>
      </c>
      <c r="G448" s="19">
        <f>[1]TOBEPAID!G336/1000</f>
        <v>0</v>
      </c>
      <c r="H448" s="19">
        <v>0</v>
      </c>
      <c r="I448" s="19">
        <f>[1]TOBEPAID!I336/1000</f>
        <v>0</v>
      </c>
      <c r="J448" s="19">
        <f>[1]TOBEPAID!J336/1000</f>
        <v>0</v>
      </c>
      <c r="K448" s="19">
        <f>[1]TOBEPAID!K336/1000</f>
        <v>0</v>
      </c>
      <c r="L448" s="19">
        <f>[1]TOBEPAID!L336/1000</f>
        <v>0</v>
      </c>
      <c r="M448" s="19">
        <f>[1]TOBEPAID!M336/1000</f>
        <v>0</v>
      </c>
      <c r="N448" s="19">
        <f>[1]TOBEPAID!N336/1000</f>
        <v>0</v>
      </c>
      <c r="O448" s="19">
        <f>[1]TOBEPAID!O336/1000</f>
        <v>0</v>
      </c>
      <c r="P448" s="19">
        <f>[1]TOBEPAID!P336/1000</f>
        <v>0</v>
      </c>
      <c r="Q448" s="19">
        <f>[1]TOBEPAID!Q336/1000</f>
        <v>0</v>
      </c>
      <c r="R448" s="19">
        <v>0</v>
      </c>
      <c r="S448" s="19">
        <f>[1]TOBEPAID!S336/1000</f>
        <v>0</v>
      </c>
      <c r="T448" s="19">
        <f>[1]TOBEPAID!T336/1000</f>
        <v>0</v>
      </c>
      <c r="U448" s="19">
        <f>[1]TOBEPAID!U336/1000</f>
        <v>0</v>
      </c>
      <c r="V448" s="19">
        <f>[1]TOBEPAID!V336/1000</f>
        <v>0</v>
      </c>
      <c r="W448" s="19">
        <f>[1]TOBEPAID!W336/1000</f>
        <v>0</v>
      </c>
      <c r="X448" s="19">
        <f>[1]TOBEPAID!X336/1000</f>
        <v>0</v>
      </c>
      <c r="Y448" s="19">
        <f t="shared" si="79"/>
        <v>0</v>
      </c>
      <c r="Z448" s="19">
        <f t="shared" si="80"/>
        <v>0</v>
      </c>
      <c r="AA448" s="19">
        <f>[1]TOBEPAID!AA336/1000</f>
        <v>0</v>
      </c>
      <c r="AB448" s="19">
        <f>[1]TOBEPAID!AB336/1000</f>
        <v>15838.582990000001</v>
      </c>
      <c r="AC448" s="19"/>
      <c r="AD448" s="19"/>
      <c r="AE448" s="25" t="s">
        <v>90</v>
      </c>
      <c r="AF448" s="34">
        <f>D294+D308+D323+D376</f>
        <v>69819.843290000004</v>
      </c>
      <c r="AG448" s="34">
        <f>E294+E308+E323+E376</f>
        <v>0</v>
      </c>
      <c r="AH448" s="34">
        <f>F293+F307+F322+F375</f>
        <v>0</v>
      </c>
      <c r="AI448" s="34">
        <f>+AG448+AH448</f>
        <v>0</v>
      </c>
      <c r="AJ448" s="34">
        <f>L294+L308+L323+L376</f>
        <v>0</v>
      </c>
      <c r="AK448" s="34">
        <f>+AI448+AJ448</f>
        <v>0</v>
      </c>
      <c r="AL448" s="34">
        <f>O294+O308+O323+O376</f>
        <v>55187.454839999991</v>
      </c>
      <c r="AM448" s="34">
        <f>P294+P308+P323+P376</f>
        <v>0</v>
      </c>
      <c r="AN448" s="34">
        <f>+AL448+AM448</f>
        <v>55187.454839999991</v>
      </c>
      <c r="AO448" s="34">
        <f>+V323</f>
        <v>0</v>
      </c>
      <c r="AP448" s="34">
        <f>+AN448+AO448</f>
        <v>55187.454839999991</v>
      </c>
      <c r="AQ448" s="34">
        <f>+AI448+AN448</f>
        <v>55187.454839999991</v>
      </c>
      <c r="AR448" s="34">
        <f>+AF448-AQ448</f>
        <v>14632.388450000013</v>
      </c>
      <c r="AS448" s="34">
        <f t="shared" si="69"/>
        <v>-1.4400000072782859E-3</v>
      </c>
    </row>
    <row r="449" spans="1:45" x14ac:dyDescent="0.2">
      <c r="A449" s="18"/>
      <c r="C449" s="31" t="s">
        <v>56</v>
      </c>
      <c r="D449" s="19">
        <v>0</v>
      </c>
      <c r="E449" s="19">
        <f>[1]TOBEPAID!E337/1000</f>
        <v>0</v>
      </c>
      <c r="F449" s="19">
        <f>[1]TOBEPAID!F337/1000</f>
        <v>0</v>
      </c>
      <c r="G449" s="19">
        <f>[1]TOBEPAID!G337/1000</f>
        <v>0</v>
      </c>
      <c r="H449" s="19">
        <v>0</v>
      </c>
      <c r="I449" s="19">
        <f>[1]TOBEPAID!I337/1000</f>
        <v>0</v>
      </c>
      <c r="J449" s="19">
        <f>[1]TOBEPAID!J337/1000</f>
        <v>0</v>
      </c>
      <c r="K449" s="19">
        <f>[1]TOBEPAID!K337/1000</f>
        <v>0</v>
      </c>
      <c r="L449" s="19">
        <f>[1]TOBEPAID!L337/1000</f>
        <v>0</v>
      </c>
      <c r="M449" s="19">
        <f>[1]TOBEPAID!M337/1000</f>
        <v>0</v>
      </c>
      <c r="N449" s="19">
        <f>[1]TOBEPAID!N337/1000</f>
        <v>0</v>
      </c>
      <c r="O449" s="19">
        <f>[1]TOBEPAID!O337/1000</f>
        <v>0</v>
      </c>
      <c r="P449" s="19">
        <f>[1]TOBEPAID!P337/1000</f>
        <v>0</v>
      </c>
      <c r="Q449" s="19">
        <f>[1]TOBEPAID!Q337/1000</f>
        <v>0</v>
      </c>
      <c r="R449" s="19">
        <v>0</v>
      </c>
      <c r="S449" s="19">
        <f>[1]TOBEPAID!S337/1000</f>
        <v>0</v>
      </c>
      <c r="T449" s="19">
        <f>[1]TOBEPAID!T337/1000</f>
        <v>0</v>
      </c>
      <c r="U449" s="19">
        <f>[1]TOBEPAID!U337/1000</f>
        <v>0</v>
      </c>
      <c r="V449" s="19">
        <f>[1]TOBEPAID!V337/1000</f>
        <v>0</v>
      </c>
      <c r="W449" s="19">
        <f>[1]TOBEPAID!W337/1000</f>
        <v>0</v>
      </c>
      <c r="X449" s="19">
        <f>[1]TOBEPAID!X337/1000</f>
        <v>0</v>
      </c>
      <c r="Y449" s="19">
        <f t="shared" si="79"/>
        <v>0</v>
      </c>
      <c r="Z449" s="19">
        <f t="shared" si="80"/>
        <v>0</v>
      </c>
      <c r="AA449" s="19">
        <f>[1]TOBEPAID!AA337/1000</f>
        <v>0</v>
      </c>
      <c r="AB449" s="19">
        <f>[1]TOBEPAID!AB337/1000</f>
        <v>30023.96816</v>
      </c>
      <c r="AC449" s="19"/>
      <c r="AD449" s="19"/>
      <c r="AE449" s="25" t="s">
        <v>96</v>
      </c>
      <c r="AF449" s="34">
        <f>D295+D309+D324+D359+D377</f>
        <v>63822.164870000001</v>
      </c>
      <c r="AG449" s="34">
        <f>E295+E309+E324+E359+E377</f>
        <v>0</v>
      </c>
      <c r="AH449" s="34">
        <f>F294+F308+F323+F376</f>
        <v>0</v>
      </c>
      <c r="AI449" s="34">
        <f t="shared" si="71"/>
        <v>0</v>
      </c>
      <c r="AJ449" s="34">
        <f>L295+L309+L324+L359+L377</f>
        <v>0</v>
      </c>
      <c r="AK449" s="34">
        <f t="shared" si="72"/>
        <v>0</v>
      </c>
      <c r="AL449" s="34">
        <f>O295+O309+O324+O359+O377</f>
        <v>63822.166310000008</v>
      </c>
      <c r="AM449" s="34">
        <f>P295+P309+P324+P359+P377</f>
        <v>0</v>
      </c>
      <c r="AN449" s="34">
        <f>+AL449+AM449</f>
        <v>63822.166310000008</v>
      </c>
      <c r="AO449" s="34">
        <f>V295+V309+V324+V359+V377</f>
        <v>0</v>
      </c>
      <c r="AP449" s="34">
        <f t="shared" si="78"/>
        <v>63822.166310000008</v>
      </c>
      <c r="AQ449" s="34">
        <f t="shared" si="74"/>
        <v>63822.166310000008</v>
      </c>
      <c r="AR449" s="34">
        <f t="shared" si="75"/>
        <v>-1.4400000072782859E-3</v>
      </c>
      <c r="AS449" s="34">
        <f t="shared" si="69"/>
        <v>0</v>
      </c>
    </row>
    <row r="450" spans="1:45" x14ac:dyDescent="0.2">
      <c r="A450" s="18"/>
      <c r="D450" s="21" t="s">
        <v>57</v>
      </c>
      <c r="E450" s="21" t="s">
        <v>57</v>
      </c>
      <c r="F450" s="21" t="s">
        <v>57</v>
      </c>
      <c r="G450" s="21"/>
      <c r="H450" s="21" t="s">
        <v>57</v>
      </c>
      <c r="I450" s="21" t="s">
        <v>57</v>
      </c>
      <c r="J450" s="21" t="s">
        <v>57</v>
      </c>
      <c r="K450" s="21" t="s">
        <v>57</v>
      </c>
      <c r="L450" s="21" t="s">
        <v>57</v>
      </c>
      <c r="M450" s="21"/>
      <c r="N450" s="21" t="s">
        <v>57</v>
      </c>
      <c r="O450" s="21" t="s">
        <v>57</v>
      </c>
      <c r="P450" s="21" t="s">
        <v>57</v>
      </c>
      <c r="Q450" s="21"/>
      <c r="R450" s="21" t="s">
        <v>57</v>
      </c>
      <c r="S450" s="21" t="s">
        <v>57</v>
      </c>
      <c r="T450" s="21" t="s">
        <v>57</v>
      </c>
      <c r="U450" s="21" t="s">
        <v>57</v>
      </c>
      <c r="V450" s="21" t="s">
        <v>57</v>
      </c>
      <c r="W450" s="21"/>
      <c r="X450" s="21" t="s">
        <v>57</v>
      </c>
      <c r="Y450" s="21" t="s">
        <v>57</v>
      </c>
      <c r="Z450" s="21" t="s">
        <v>57</v>
      </c>
      <c r="AA450" s="21" t="s">
        <v>57</v>
      </c>
      <c r="AB450" s="21" t="s">
        <v>57</v>
      </c>
      <c r="AC450" s="21"/>
      <c r="AD450" s="21"/>
      <c r="AE450" s="25" t="s">
        <v>97</v>
      </c>
      <c r="AF450" s="34">
        <f>+D444</f>
        <v>0</v>
      </c>
      <c r="AG450" s="34">
        <f>+E444</f>
        <v>0</v>
      </c>
      <c r="AH450" s="34">
        <f>+F443</f>
        <v>0</v>
      </c>
      <c r="AI450" s="34">
        <f t="shared" si="71"/>
        <v>0</v>
      </c>
      <c r="AJ450" s="34">
        <f>+L444</f>
        <v>0</v>
      </c>
      <c r="AK450" s="34">
        <f t="shared" si="72"/>
        <v>0</v>
      </c>
      <c r="AL450" s="34">
        <f>+O444</f>
        <v>0</v>
      </c>
      <c r="AM450" s="34">
        <f>+P444</f>
        <v>0</v>
      </c>
      <c r="AN450" s="34">
        <f t="shared" si="77"/>
        <v>0</v>
      </c>
      <c r="AO450" s="34">
        <f>+V444</f>
        <v>0</v>
      </c>
      <c r="AP450" s="34">
        <f t="shared" si="78"/>
        <v>0</v>
      </c>
      <c r="AQ450" s="34">
        <f t="shared" si="74"/>
        <v>0</v>
      </c>
      <c r="AR450" s="34">
        <f t="shared" si="75"/>
        <v>0</v>
      </c>
      <c r="AS450" s="34">
        <f t="shared" si="69"/>
        <v>-5.7000000003881723E-4</v>
      </c>
    </row>
    <row r="451" spans="1:45" x14ac:dyDescent="0.2">
      <c r="A451" s="18"/>
      <c r="D451" s="19">
        <f t="shared" ref="D451:AB451" si="81">SUM(D443:D449)</f>
        <v>229579.87638</v>
      </c>
      <c r="E451" s="19">
        <f t="shared" si="81"/>
        <v>0</v>
      </c>
      <c r="F451" s="19">
        <f t="shared" si="81"/>
        <v>0</v>
      </c>
      <c r="G451" s="19"/>
      <c r="H451" s="19">
        <f t="shared" si="81"/>
        <v>94159.570110000001</v>
      </c>
      <c r="I451" s="19">
        <f t="shared" si="81"/>
        <v>0</v>
      </c>
      <c r="J451" s="19">
        <f t="shared" si="81"/>
        <v>0</v>
      </c>
      <c r="K451" s="19">
        <f t="shared" si="81"/>
        <v>0</v>
      </c>
      <c r="L451" s="19">
        <f t="shared" si="81"/>
        <v>0</v>
      </c>
      <c r="M451" s="19"/>
      <c r="N451" s="19">
        <f t="shared" si="81"/>
        <v>0</v>
      </c>
      <c r="O451" s="19">
        <f t="shared" si="81"/>
        <v>595.40219999999999</v>
      </c>
      <c r="P451" s="19">
        <f t="shared" si="81"/>
        <v>0</v>
      </c>
      <c r="Q451" s="19"/>
      <c r="R451" s="19">
        <f t="shared" si="81"/>
        <v>595.40200000000004</v>
      </c>
      <c r="S451" s="19">
        <f t="shared" si="81"/>
        <v>0</v>
      </c>
      <c r="T451" s="19">
        <f t="shared" si="81"/>
        <v>0</v>
      </c>
      <c r="U451" s="19">
        <f t="shared" si="81"/>
        <v>0</v>
      </c>
      <c r="V451" s="19">
        <f t="shared" si="81"/>
        <v>0</v>
      </c>
      <c r="W451" s="19"/>
      <c r="X451" s="19">
        <f t="shared" si="81"/>
        <v>595.40219999999999</v>
      </c>
      <c r="Y451" s="19">
        <f t="shared" si="81"/>
        <v>94754.972110000002</v>
      </c>
      <c r="Z451" s="19">
        <f t="shared" si="81"/>
        <v>134824.90427000003</v>
      </c>
      <c r="AA451" s="19">
        <f t="shared" si="81"/>
        <v>595.40219999999999</v>
      </c>
      <c r="AB451" s="19">
        <f t="shared" si="81"/>
        <v>197515.11644999997</v>
      </c>
      <c r="AC451" s="19"/>
      <c r="AD451" s="19"/>
      <c r="AE451" s="25" t="s">
        <v>202</v>
      </c>
      <c r="AF451" s="34">
        <f>+D378</f>
        <v>837.83799999999997</v>
      </c>
      <c r="AG451" s="34">
        <f>+E378</f>
        <v>837.83857</v>
      </c>
      <c r="AH451" s="34">
        <f>+F377</f>
        <v>0</v>
      </c>
      <c r="AI451" s="34">
        <f t="shared" si="71"/>
        <v>837.83857</v>
      </c>
      <c r="AJ451" s="34">
        <f>+L378</f>
        <v>0</v>
      </c>
      <c r="AK451" s="34">
        <f t="shared" si="72"/>
        <v>837.83857</v>
      </c>
      <c r="AL451" s="34">
        <f>+O378</f>
        <v>0</v>
      </c>
      <c r="AM451" s="34">
        <f>+P378</f>
        <v>0</v>
      </c>
      <c r="AN451" s="34">
        <f t="shared" si="77"/>
        <v>0</v>
      </c>
      <c r="AO451" s="34">
        <f>+V378</f>
        <v>0</v>
      </c>
      <c r="AP451" s="34">
        <f t="shared" si="78"/>
        <v>0</v>
      </c>
      <c r="AQ451" s="34">
        <f t="shared" si="74"/>
        <v>837.83857</v>
      </c>
      <c r="AR451" s="34">
        <f t="shared" si="75"/>
        <v>-5.7000000003881723E-4</v>
      </c>
      <c r="AS451" s="34">
        <f>SUM(AS428:AS450)</f>
        <v>1493553.7959400003</v>
      </c>
    </row>
    <row r="452" spans="1:45" x14ac:dyDescent="0.2">
      <c r="A452" s="18"/>
      <c r="D452" s="21" t="s">
        <v>57</v>
      </c>
      <c r="E452" s="21" t="s">
        <v>57</v>
      </c>
      <c r="F452" s="21" t="s">
        <v>57</v>
      </c>
      <c r="G452" s="21"/>
      <c r="H452" s="21" t="s">
        <v>57</v>
      </c>
      <c r="I452" s="21" t="s">
        <v>57</v>
      </c>
      <c r="J452" s="21" t="s">
        <v>57</v>
      </c>
      <c r="K452" s="21" t="s">
        <v>57</v>
      </c>
      <c r="L452" s="21" t="s">
        <v>57</v>
      </c>
      <c r="M452" s="21"/>
      <c r="N452" s="21" t="s">
        <v>57</v>
      </c>
      <c r="O452" s="21" t="s">
        <v>57</v>
      </c>
      <c r="P452" s="21" t="s">
        <v>57</v>
      </c>
      <c r="Q452" s="21"/>
      <c r="R452" s="21" t="s">
        <v>57</v>
      </c>
      <c r="S452" s="21" t="s">
        <v>57</v>
      </c>
      <c r="T452" s="21" t="s">
        <v>57</v>
      </c>
      <c r="U452" s="21" t="s">
        <v>57</v>
      </c>
      <c r="V452" s="21" t="s">
        <v>57</v>
      </c>
      <c r="W452" s="21"/>
      <c r="X452" s="21" t="s">
        <v>57</v>
      </c>
      <c r="Y452" s="21" t="s">
        <v>57</v>
      </c>
      <c r="Z452" s="21" t="s">
        <v>57</v>
      </c>
      <c r="AA452" s="21" t="s">
        <v>57</v>
      </c>
      <c r="AB452" s="21" t="s">
        <v>57</v>
      </c>
      <c r="AC452" s="21"/>
      <c r="AD452" s="21"/>
      <c r="AE452" s="43" t="s">
        <v>183</v>
      </c>
      <c r="AF452" s="34">
        <f t="shared" ref="AF452:AR452" si="82">SUM(AF429:AF451)</f>
        <v>2490287.0763200005</v>
      </c>
      <c r="AG452" s="34">
        <f t="shared" si="82"/>
        <v>810693.27743999998</v>
      </c>
      <c r="AH452" s="34">
        <f t="shared" si="82"/>
        <v>30660.93316</v>
      </c>
      <c r="AI452" s="34">
        <f t="shared" si="82"/>
        <v>841354.21059999999</v>
      </c>
      <c r="AJ452" s="34">
        <f t="shared" si="82"/>
        <v>0</v>
      </c>
      <c r="AK452" s="34">
        <f t="shared" si="82"/>
        <v>841354.21059999999</v>
      </c>
      <c r="AL452" s="34">
        <f t="shared" si="82"/>
        <v>155379.06977999999</v>
      </c>
      <c r="AM452" s="34">
        <f t="shared" si="82"/>
        <v>0</v>
      </c>
      <c r="AN452" s="34">
        <f t="shared" si="82"/>
        <v>155379.06977999999</v>
      </c>
      <c r="AO452" s="34">
        <f t="shared" si="82"/>
        <v>0</v>
      </c>
      <c r="AP452" s="34">
        <f t="shared" si="82"/>
        <v>155379.06977999999</v>
      </c>
      <c r="AQ452" s="34">
        <f t="shared" si="82"/>
        <v>996733.28038000001</v>
      </c>
      <c r="AR452" s="34">
        <f t="shared" si="82"/>
        <v>1493553.7959400003</v>
      </c>
    </row>
    <row r="453" spans="1:45" x14ac:dyDescent="0.2">
      <c r="A453" s="18"/>
      <c r="B453" s="8" t="s">
        <v>29</v>
      </c>
      <c r="C453" s="17" t="s">
        <v>158</v>
      </c>
      <c r="D453" s="19">
        <f>D451+D440+D423+D414+D401+D380+D361+D350+D339+D326+D311+D297+D287+D392</f>
        <v>5170744.1804299997</v>
      </c>
      <c r="E453" s="19">
        <f>E451+E440+E423+E414+E401+E380+E361+E350+E339+E326+E311+E297+E287</f>
        <v>810693.27744000009</v>
      </c>
      <c r="F453" s="19">
        <f>F451+F440+F423+F414+F401+F380+F361+F350+F339+F326+F311+F297+F287</f>
        <v>30660.93316</v>
      </c>
      <c r="G453" s="19"/>
      <c r="H453" s="19">
        <f t="shared" ref="H453:Z453" si="83">H451+H440+H423+H414+H401+H380+H361+H350+H339+H326+H311+H297+H287+H392</f>
        <v>3742807.6796599999</v>
      </c>
      <c r="I453" s="19">
        <f t="shared" si="83"/>
        <v>0</v>
      </c>
      <c r="J453" s="19">
        <f t="shared" si="83"/>
        <v>0</v>
      </c>
      <c r="K453" s="19">
        <f t="shared" si="83"/>
        <v>0</v>
      </c>
      <c r="L453" s="19">
        <f t="shared" si="83"/>
        <v>0</v>
      </c>
      <c r="M453" s="19">
        <f t="shared" si="83"/>
        <v>0</v>
      </c>
      <c r="N453" s="19">
        <f t="shared" si="83"/>
        <v>841354.21059999999</v>
      </c>
      <c r="O453" s="19">
        <f t="shared" si="83"/>
        <v>155379.06977999999</v>
      </c>
      <c r="P453" s="19">
        <f t="shared" si="83"/>
        <v>0</v>
      </c>
      <c r="Q453" s="19">
        <f t="shared" si="83"/>
        <v>0</v>
      </c>
      <c r="R453" s="19">
        <f t="shared" si="83"/>
        <v>173192.72714999999</v>
      </c>
      <c r="S453" s="19">
        <f t="shared" si="83"/>
        <v>1690.0005999999998</v>
      </c>
      <c r="T453" s="19">
        <f t="shared" si="83"/>
        <v>210.2466</v>
      </c>
      <c r="U453" s="19">
        <f t="shared" si="83"/>
        <v>0</v>
      </c>
      <c r="V453" s="19">
        <f t="shared" si="83"/>
        <v>0</v>
      </c>
      <c r="W453" s="19">
        <f t="shared" si="83"/>
        <v>0</v>
      </c>
      <c r="X453" s="19">
        <f t="shared" si="83"/>
        <v>155379.06977999999</v>
      </c>
      <c r="Y453" s="19">
        <f t="shared" si="83"/>
        <v>3916000.4100599997</v>
      </c>
      <c r="Z453" s="19">
        <f t="shared" si="83"/>
        <v>1254743.7735000001</v>
      </c>
      <c r="AA453" s="19">
        <f>AA451+AA440+AA423+AA414+AA401+AA380+AA361+AA350+AA339+AA326+AA311+AA297+AA287</f>
        <v>996733.28038000001</v>
      </c>
      <c r="AB453" s="19">
        <f>AB451+AB440+AB423+AB414+AB401+AB380+AB361+AB350+AB339+AB326+AB311+AB297+AB287</f>
        <v>640168.31458000012</v>
      </c>
      <c r="AC453" s="19"/>
      <c r="AD453" s="19"/>
    </row>
    <row r="454" spans="1:45" x14ac:dyDescent="0.2">
      <c r="A454" s="18"/>
      <c r="D454" s="21" t="s">
        <v>93</v>
      </c>
      <c r="E454" s="21" t="s">
        <v>93</v>
      </c>
      <c r="F454" s="21" t="s">
        <v>93</v>
      </c>
      <c r="G454" s="21"/>
      <c r="H454" s="21" t="s">
        <v>93</v>
      </c>
      <c r="I454" s="21" t="s">
        <v>93</v>
      </c>
      <c r="J454" s="21" t="s">
        <v>93</v>
      </c>
      <c r="K454" s="21" t="s">
        <v>93</v>
      </c>
      <c r="L454" s="21" t="s">
        <v>93</v>
      </c>
      <c r="M454" s="21"/>
      <c r="N454" s="21" t="s">
        <v>93</v>
      </c>
      <c r="O454" s="21" t="s">
        <v>93</v>
      </c>
      <c r="P454" s="21" t="s">
        <v>93</v>
      </c>
      <c r="Q454" s="21"/>
      <c r="R454" s="21" t="s">
        <v>93</v>
      </c>
      <c r="S454" s="21" t="s">
        <v>93</v>
      </c>
      <c r="T454" s="21" t="s">
        <v>93</v>
      </c>
      <c r="U454" s="21" t="s">
        <v>93</v>
      </c>
      <c r="V454" s="21" t="s">
        <v>93</v>
      </c>
      <c r="W454" s="21"/>
      <c r="X454" s="21" t="s">
        <v>93</v>
      </c>
      <c r="Y454" s="21" t="s">
        <v>93</v>
      </c>
      <c r="Z454" s="21" t="s">
        <v>93</v>
      </c>
      <c r="AA454" s="21" t="s">
        <v>93</v>
      </c>
      <c r="AB454" s="21" t="s">
        <v>93</v>
      </c>
      <c r="AC454" s="21"/>
      <c r="AD454" s="21"/>
    </row>
    <row r="455" spans="1:45" x14ac:dyDescent="0.2">
      <c r="C455" s="25"/>
      <c r="D455" s="30"/>
      <c r="E455" s="35"/>
      <c r="F455" s="21"/>
      <c r="G455" s="21"/>
      <c r="H455" s="21"/>
      <c r="I455" s="21"/>
      <c r="J455" s="21"/>
      <c r="K455" s="21"/>
      <c r="L455" s="21"/>
      <c r="M455" s="21"/>
      <c r="N455" s="21"/>
      <c r="O455" s="35"/>
      <c r="P455" s="21"/>
      <c r="Q455" s="21"/>
      <c r="R455" s="21"/>
      <c r="S455" s="21"/>
      <c r="T455" s="21"/>
      <c r="U455" s="21"/>
      <c r="V455" s="35"/>
      <c r="W455" s="21"/>
      <c r="X455" s="21"/>
      <c r="Y455" s="21"/>
      <c r="Z455" s="21"/>
      <c r="AA455" s="21"/>
      <c r="AB455" s="21"/>
      <c r="AC455" s="21"/>
      <c r="AD455" s="21"/>
      <c r="AO455" s="3">
        <f>+AO452-V453</f>
        <v>0</v>
      </c>
      <c r="AQ455" s="34">
        <f>+AQ452-Y453</f>
        <v>-2919267.1296799998</v>
      </c>
    </row>
    <row r="456" spans="1:45" x14ac:dyDescent="0.2">
      <c r="A456" s="18"/>
      <c r="B456" s="3" t="s">
        <v>203</v>
      </c>
      <c r="D456" s="29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1:45" x14ac:dyDescent="0.2"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1:45" x14ac:dyDescent="0.2">
      <c r="A458" s="18">
        <v>32</v>
      </c>
      <c r="B458" s="3" t="s">
        <v>204</v>
      </c>
      <c r="C458" s="17" t="s">
        <v>51</v>
      </c>
      <c r="D458" s="19">
        <f>21170540/1000</f>
        <v>21170.54</v>
      </c>
      <c r="E458" s="19">
        <f>[1]TOBEPAID!E346/1000</f>
        <v>0</v>
      </c>
      <c r="F458" s="19">
        <f>[1]TOBEPAID!F346/1000</f>
        <v>0</v>
      </c>
      <c r="G458" s="19">
        <f>[1]TOBEPAID!G346/1000</f>
        <v>0</v>
      </c>
      <c r="H458" s="19">
        <f>6500000/1000</f>
        <v>6500</v>
      </c>
      <c r="I458" s="19">
        <f>[1]TOBEPAID!I346/1000</f>
        <v>0</v>
      </c>
      <c r="J458" s="19">
        <f>[1]TOBEPAID!J346/1000</f>
        <v>0</v>
      </c>
      <c r="K458" s="19">
        <f>[1]TOBEPAID!K346/1000</f>
        <v>0</v>
      </c>
      <c r="L458" s="19">
        <f>[1]TOBEPAID!L346/1000</f>
        <v>0</v>
      </c>
      <c r="M458" s="19">
        <f>[1]TOBEPAID!M346/1000</f>
        <v>0</v>
      </c>
      <c r="N458" s="19">
        <f>[1]TOBEPAID!N346/1000</f>
        <v>0</v>
      </c>
      <c r="O458" s="19">
        <f>[1]TOBEPAID!O346/1000</f>
        <v>11108.782310000001</v>
      </c>
      <c r="P458" s="19">
        <f>[1]TOBEPAID!P346/1000</f>
        <v>0</v>
      </c>
      <c r="Q458" s="19">
        <f>[1]TOBEPAID!Q346/1000</f>
        <v>0</v>
      </c>
      <c r="R458" s="19">
        <f>14329322/1000</f>
        <v>14329.322</v>
      </c>
      <c r="S458" s="19">
        <f>[1]TOBEPAID!S346/1000</f>
        <v>0</v>
      </c>
      <c r="T458" s="19">
        <f>[1]TOBEPAID!T346/1000</f>
        <v>0</v>
      </c>
      <c r="U458" s="19">
        <f>[1]TOBEPAID!U346/1000</f>
        <v>0</v>
      </c>
      <c r="V458" s="19">
        <f>[1]TOBEPAID!V346/1000</f>
        <v>0</v>
      </c>
      <c r="W458" s="19">
        <f>[1]TOBEPAID!W346/1000</f>
        <v>0</v>
      </c>
      <c r="X458" s="19">
        <f>[1]TOBEPAID!X346/1000</f>
        <v>11108.782310000001</v>
      </c>
      <c r="Y458" s="19">
        <f>+H458+R458</f>
        <v>20829.322</v>
      </c>
      <c r="Z458" s="19">
        <f t="shared" ref="Z458:Z470" si="84">+D458-Y458</f>
        <v>341.21800000000076</v>
      </c>
      <c r="AA458" s="19">
        <f>[1]TOBEPAID!AA346/1000</f>
        <v>11108.782310000001</v>
      </c>
      <c r="AB458" s="19">
        <f>[1]TOBEPAID!AB346/1000</f>
        <v>0</v>
      </c>
      <c r="AC458" s="19"/>
      <c r="AD458" s="19"/>
    </row>
    <row r="459" spans="1:45" x14ac:dyDescent="0.2">
      <c r="A459" s="18"/>
      <c r="C459" s="17" t="s">
        <v>127</v>
      </c>
      <c r="D459" s="19">
        <f>16000000/1000</f>
        <v>16000</v>
      </c>
      <c r="E459" s="19"/>
      <c r="F459" s="19"/>
      <c r="G459" s="19"/>
      <c r="H459" s="19">
        <f>16000000/1000</f>
        <v>16000</v>
      </c>
      <c r="I459" s="19"/>
      <c r="J459" s="19"/>
      <c r="K459" s="19"/>
      <c r="L459" s="19"/>
      <c r="M459" s="19"/>
      <c r="N459" s="19"/>
      <c r="O459" s="19"/>
      <c r="P459" s="19"/>
      <c r="Q459" s="19"/>
      <c r="R459" s="19">
        <v>0</v>
      </c>
      <c r="S459" s="19"/>
      <c r="T459" s="19"/>
      <c r="U459" s="19"/>
      <c r="V459" s="19"/>
      <c r="W459" s="19"/>
      <c r="X459" s="19"/>
      <c r="Y459" s="19">
        <f>+H459+R459</f>
        <v>16000</v>
      </c>
      <c r="Z459" s="19">
        <f t="shared" si="84"/>
        <v>0</v>
      </c>
      <c r="AA459" s="19"/>
      <c r="AB459" s="19"/>
      <c r="AC459" s="19"/>
      <c r="AD459" s="19"/>
    </row>
    <row r="460" spans="1:45" x14ac:dyDescent="0.2">
      <c r="A460" s="18"/>
      <c r="C460" s="3" t="s">
        <v>52</v>
      </c>
      <c r="D460" s="19">
        <f>1551040/1000</f>
        <v>1551.04</v>
      </c>
      <c r="E460" s="19">
        <f>[1]TOBEPAID!E347/1000</f>
        <v>1551.04</v>
      </c>
      <c r="F460" s="19">
        <f>[1]TOBEPAID!F347/1000</f>
        <v>0</v>
      </c>
      <c r="G460" s="19">
        <f>[1]TOBEPAID!G347/1000</f>
        <v>0</v>
      </c>
      <c r="H460" s="19">
        <f>1551040/1000</f>
        <v>1551.04</v>
      </c>
      <c r="I460" s="19">
        <f>[1]TOBEPAID!I347/1000</f>
        <v>0</v>
      </c>
      <c r="J460" s="19">
        <f>[1]TOBEPAID!J347/1000</f>
        <v>0</v>
      </c>
      <c r="K460" s="19">
        <f>[1]TOBEPAID!K347/1000</f>
        <v>0</v>
      </c>
      <c r="L460" s="19">
        <f>[1]TOBEPAID!L347/1000</f>
        <v>0</v>
      </c>
      <c r="M460" s="19">
        <f>[1]TOBEPAID!M347/1000</f>
        <v>0</v>
      </c>
      <c r="N460" s="19">
        <f>[1]TOBEPAID!N347/1000</f>
        <v>1551.04</v>
      </c>
      <c r="O460" s="19">
        <f>[1]TOBEPAID!O347/1000</f>
        <v>0</v>
      </c>
      <c r="P460" s="19">
        <f>[1]TOBEPAID!P347/1000</f>
        <v>0</v>
      </c>
      <c r="Q460" s="19">
        <f>[1]TOBEPAID!Q347/1000</f>
        <v>0</v>
      </c>
      <c r="R460" s="19">
        <v>0</v>
      </c>
      <c r="S460" s="19">
        <f>[1]TOBEPAID!S347/1000</f>
        <v>0</v>
      </c>
      <c r="T460" s="19">
        <f>[1]TOBEPAID!T347/1000</f>
        <v>0</v>
      </c>
      <c r="U460" s="19">
        <f>[1]TOBEPAID!U347/1000</f>
        <v>0</v>
      </c>
      <c r="V460" s="19">
        <f>[1]TOBEPAID!V347/1000</f>
        <v>0</v>
      </c>
      <c r="W460" s="19">
        <f>[1]TOBEPAID!W347/1000</f>
        <v>0</v>
      </c>
      <c r="X460" s="19">
        <f>[1]TOBEPAID!X347/1000</f>
        <v>0</v>
      </c>
      <c r="Y460" s="19">
        <f t="shared" ref="Y460:Y470" si="85">+H460+R460</f>
        <v>1551.04</v>
      </c>
      <c r="Z460" s="19">
        <f t="shared" si="84"/>
        <v>0</v>
      </c>
      <c r="AA460" s="19">
        <f>[1]TOBEPAID!AA347/1000</f>
        <v>1551.04</v>
      </c>
      <c r="AB460" s="19">
        <f>[1]TOBEPAID!AB347/1000</f>
        <v>0</v>
      </c>
      <c r="AC460" s="19"/>
      <c r="AD460" s="19"/>
    </row>
    <row r="461" spans="1:45" x14ac:dyDescent="0.2">
      <c r="A461" s="18"/>
      <c r="C461" s="3" t="s">
        <v>205</v>
      </c>
      <c r="D461" s="19">
        <f>5444153/1000</f>
        <v>5444.1530000000002</v>
      </c>
      <c r="E461" s="19">
        <f>[1]TOBEPAID!E348/1000</f>
        <v>0</v>
      </c>
      <c r="F461" s="19">
        <f>[1]TOBEPAID!F348/1000</f>
        <v>0</v>
      </c>
      <c r="G461" s="19">
        <f>[1]TOBEPAID!G348/1000</f>
        <v>0</v>
      </c>
      <c r="H461" s="19">
        <v>0</v>
      </c>
      <c r="I461" s="19">
        <f>[1]TOBEPAID!I348/1000</f>
        <v>0</v>
      </c>
      <c r="J461" s="19">
        <f>[1]TOBEPAID!J348/1000</f>
        <v>0</v>
      </c>
      <c r="K461" s="19">
        <f>[1]TOBEPAID!K348/1000</f>
        <v>0</v>
      </c>
      <c r="L461" s="19">
        <f>[1]TOBEPAID!L348/1000</f>
        <v>0</v>
      </c>
      <c r="M461" s="19">
        <f>[1]TOBEPAID!M348/1000</f>
        <v>0</v>
      </c>
      <c r="N461" s="19">
        <f>[1]TOBEPAID!N348/1000</f>
        <v>0</v>
      </c>
      <c r="O461" s="19">
        <f>[1]TOBEPAID!O348/1000</f>
        <v>5444.1531799999993</v>
      </c>
      <c r="P461" s="19">
        <f>[1]TOBEPAID!P348/1000</f>
        <v>0</v>
      </c>
      <c r="Q461" s="19">
        <f>[1]TOBEPAID!Q348/1000</f>
        <v>0</v>
      </c>
      <c r="R461" s="19">
        <f>5444153/1000</f>
        <v>5444.1530000000002</v>
      </c>
      <c r="S461" s="19">
        <f>[1]TOBEPAID!S348/1000</f>
        <v>0</v>
      </c>
      <c r="T461" s="19">
        <f>[1]TOBEPAID!T348/1000</f>
        <v>0</v>
      </c>
      <c r="U461" s="19">
        <f>[1]TOBEPAID!U348/1000</f>
        <v>0</v>
      </c>
      <c r="V461" s="19">
        <f>[1]TOBEPAID!V348/1000</f>
        <v>0</v>
      </c>
      <c r="W461" s="19">
        <f>[1]TOBEPAID!W348/1000</f>
        <v>0</v>
      </c>
      <c r="X461" s="19">
        <f>[1]TOBEPAID!X348/1000</f>
        <v>5444.1531799999993</v>
      </c>
      <c r="Y461" s="19">
        <f t="shared" si="85"/>
        <v>5444.1530000000002</v>
      </c>
      <c r="Z461" s="19">
        <f t="shared" si="84"/>
        <v>0</v>
      </c>
      <c r="AA461" s="19">
        <f>[1]TOBEPAID!AA348/1000</f>
        <v>5444.1531799999993</v>
      </c>
      <c r="AB461" s="19">
        <f>[1]TOBEPAID!AB348/1000</f>
        <v>0</v>
      </c>
      <c r="AC461" s="19"/>
      <c r="AD461" s="19"/>
    </row>
    <row r="462" spans="1:45" x14ac:dyDescent="0.2">
      <c r="A462" s="18"/>
      <c r="C462" s="3" t="s">
        <v>206</v>
      </c>
      <c r="D462" s="19">
        <v>0</v>
      </c>
      <c r="E462" s="19">
        <f>[1]TOBEPAID!E349/1000</f>
        <v>0</v>
      </c>
      <c r="F462" s="19">
        <f>[1]TOBEPAID!F349/1000</f>
        <v>0</v>
      </c>
      <c r="G462" s="19">
        <f>[1]TOBEPAID!G349/1000</f>
        <v>0</v>
      </c>
      <c r="H462" s="19">
        <v>0</v>
      </c>
      <c r="I462" s="19">
        <f>[1]TOBEPAID!I349/1000</f>
        <v>0</v>
      </c>
      <c r="J462" s="19">
        <f>[1]TOBEPAID!J349/1000</f>
        <v>0</v>
      </c>
      <c r="K462" s="19">
        <f>[1]TOBEPAID!K349/1000</f>
        <v>0</v>
      </c>
      <c r="L462" s="19">
        <f>[1]TOBEPAID!L349/1000</f>
        <v>0</v>
      </c>
      <c r="M462" s="19">
        <f>[1]TOBEPAID!M349/1000</f>
        <v>0</v>
      </c>
      <c r="N462" s="19">
        <f>[1]TOBEPAID!N349/1000</f>
        <v>0</v>
      </c>
      <c r="O462" s="19">
        <f>[1]TOBEPAID!O349/1000</f>
        <v>0</v>
      </c>
      <c r="P462" s="19">
        <f>[1]TOBEPAID!P349/1000</f>
        <v>0</v>
      </c>
      <c r="Q462" s="19">
        <f>[1]TOBEPAID!Q349/1000</f>
        <v>0</v>
      </c>
      <c r="R462" s="19">
        <v>0</v>
      </c>
      <c r="S462" s="19">
        <f>[1]TOBEPAID!S349/1000</f>
        <v>0</v>
      </c>
      <c r="T462" s="19">
        <f>[1]TOBEPAID!T349/1000</f>
        <v>0</v>
      </c>
      <c r="U462" s="19">
        <f>[1]TOBEPAID!U349/1000</f>
        <v>0</v>
      </c>
      <c r="V462" s="19">
        <f>[1]TOBEPAID!V349/1000</f>
        <v>0</v>
      </c>
      <c r="W462" s="19">
        <f>[1]TOBEPAID!W349/1000</f>
        <v>0</v>
      </c>
      <c r="X462" s="19">
        <f>[1]TOBEPAID!X349/1000</f>
        <v>0</v>
      </c>
      <c r="Y462" s="19">
        <f t="shared" si="85"/>
        <v>0</v>
      </c>
      <c r="Z462" s="19">
        <f t="shared" si="84"/>
        <v>0</v>
      </c>
      <c r="AA462" s="19">
        <f>[1]TOBEPAID!AA349/1000</f>
        <v>0</v>
      </c>
      <c r="AB462" s="19">
        <f>[1]TOBEPAID!AB349/1000</f>
        <v>11690.201449999999</v>
      </c>
      <c r="AC462" s="19"/>
      <c r="AD462" s="19"/>
    </row>
    <row r="463" spans="1:45" x14ac:dyDescent="0.2">
      <c r="C463" s="3" t="s">
        <v>75</v>
      </c>
      <c r="D463" s="3">
        <f>15224750/1000</f>
        <v>15224.75</v>
      </c>
      <c r="H463" s="3">
        <f>15224750/1000</f>
        <v>15224.75</v>
      </c>
      <c r="R463" s="19">
        <v>0</v>
      </c>
      <c r="Y463" s="19">
        <f t="shared" si="85"/>
        <v>15224.75</v>
      </c>
      <c r="Z463" s="19">
        <f t="shared" si="84"/>
        <v>0</v>
      </c>
    </row>
    <row r="464" spans="1:45" x14ac:dyDescent="0.2">
      <c r="C464" s="3" t="s">
        <v>161</v>
      </c>
      <c r="D464" s="3">
        <f>8000000/1000</f>
        <v>8000</v>
      </c>
      <c r="H464" s="3">
        <f>8000000/1000</f>
        <v>8000</v>
      </c>
      <c r="R464" s="19">
        <v>0</v>
      </c>
      <c r="Y464" s="19">
        <f t="shared" si="85"/>
        <v>8000</v>
      </c>
      <c r="Z464" s="19">
        <f t="shared" si="84"/>
        <v>0</v>
      </c>
    </row>
    <row r="465" spans="1:33" x14ac:dyDescent="0.2">
      <c r="C465" s="3" t="s">
        <v>161</v>
      </c>
      <c r="D465" s="3">
        <f>8000000/1000</f>
        <v>8000</v>
      </c>
      <c r="H465" s="3">
        <f>8000000/1000</f>
        <v>8000</v>
      </c>
      <c r="R465" s="19">
        <v>0</v>
      </c>
      <c r="Y465" s="19">
        <f t="shared" si="85"/>
        <v>8000</v>
      </c>
      <c r="Z465" s="19">
        <f t="shared" si="84"/>
        <v>0</v>
      </c>
    </row>
    <row r="466" spans="1:33" x14ac:dyDescent="0.2">
      <c r="C466" s="3" t="s">
        <v>76</v>
      </c>
      <c r="D466" s="3">
        <f>927300/1000</f>
        <v>927.3</v>
      </c>
      <c r="H466" s="3">
        <f>927300/1000</f>
        <v>927.3</v>
      </c>
      <c r="R466" s="19">
        <v>0</v>
      </c>
      <c r="Y466" s="19">
        <f t="shared" si="85"/>
        <v>927.3</v>
      </c>
      <c r="Z466" s="19">
        <f t="shared" si="84"/>
        <v>0</v>
      </c>
    </row>
    <row r="467" spans="1:33" x14ac:dyDescent="0.2">
      <c r="C467" s="3" t="s">
        <v>78</v>
      </c>
      <c r="D467" s="19">
        <f>8000000/1000</f>
        <v>8000</v>
      </c>
      <c r="E467" s="19">
        <f>[1]TOBEPAID!E350/1000</f>
        <v>8000</v>
      </c>
      <c r="F467" s="19">
        <f>[1]TOBEPAID!F350/1000</f>
        <v>0</v>
      </c>
      <c r="G467" s="19">
        <f>[1]TOBEPAID!G350/1000</f>
        <v>0</v>
      </c>
      <c r="H467" s="19">
        <f>8000000/1000</f>
        <v>8000</v>
      </c>
      <c r="I467" s="19">
        <f>[1]TOBEPAID!I350/1000</f>
        <v>0</v>
      </c>
      <c r="J467" s="19">
        <f>[1]TOBEPAID!J350/1000</f>
        <v>0</v>
      </c>
      <c r="K467" s="19">
        <f>[1]TOBEPAID!K350/1000</f>
        <v>0</v>
      </c>
      <c r="L467" s="19">
        <f>[1]TOBEPAID!L350/1000</f>
        <v>0</v>
      </c>
      <c r="M467" s="19">
        <f>[1]TOBEPAID!M350/1000</f>
        <v>0</v>
      </c>
      <c r="N467" s="19">
        <f>[1]TOBEPAID!N350/1000</f>
        <v>8000</v>
      </c>
      <c r="O467" s="19">
        <f>[1]TOBEPAID!O350/1000</f>
        <v>0</v>
      </c>
      <c r="P467" s="19">
        <f>[1]TOBEPAID!P350/1000</f>
        <v>0</v>
      </c>
      <c r="Q467" s="19">
        <f>[1]TOBEPAID!Q350/1000</f>
        <v>0</v>
      </c>
      <c r="R467" s="19">
        <v>0</v>
      </c>
      <c r="S467" s="19">
        <f>[1]TOBEPAID!S350/1000</f>
        <v>0</v>
      </c>
      <c r="T467" s="19">
        <f>[1]TOBEPAID!T350/1000</f>
        <v>0</v>
      </c>
      <c r="U467" s="19">
        <f>[1]TOBEPAID!U350/1000</f>
        <v>0</v>
      </c>
      <c r="V467" s="19">
        <f>[1]TOBEPAID!V350/1000</f>
        <v>0</v>
      </c>
      <c r="W467" s="19">
        <f>[1]TOBEPAID!W350/1000</f>
        <v>0</v>
      </c>
      <c r="X467" s="19">
        <f>[1]TOBEPAID!X350/1000</f>
        <v>0</v>
      </c>
      <c r="Y467" s="19">
        <f t="shared" si="85"/>
        <v>8000</v>
      </c>
      <c r="Z467" s="19">
        <f t="shared" si="84"/>
        <v>0</v>
      </c>
      <c r="AA467" s="19">
        <f>[1]TOBEPAID!AA350/1000</f>
        <v>8000</v>
      </c>
      <c r="AB467" s="19">
        <f>[1]TOBEPAID!AB350/1000</f>
        <v>0</v>
      </c>
      <c r="AC467" s="19"/>
      <c r="AD467" s="19"/>
    </row>
    <row r="468" spans="1:33" x14ac:dyDescent="0.2">
      <c r="C468" s="3" t="s">
        <v>79</v>
      </c>
      <c r="D468" s="19">
        <f>1025574.93/1000</f>
        <v>1025.57493</v>
      </c>
      <c r="E468" s="19"/>
      <c r="F468" s="19"/>
      <c r="G468" s="19"/>
      <c r="H468" s="19">
        <f>1025574.93/1000</f>
        <v>1025.57493</v>
      </c>
      <c r="I468" s="19"/>
      <c r="J468" s="19"/>
      <c r="K468" s="19"/>
      <c r="L468" s="19"/>
      <c r="M468" s="19"/>
      <c r="N468" s="19"/>
      <c r="O468" s="19"/>
      <c r="P468" s="19"/>
      <c r="Q468" s="19"/>
      <c r="R468" s="19">
        <v>0</v>
      </c>
      <c r="S468" s="19"/>
      <c r="T468" s="19"/>
      <c r="U468" s="19"/>
      <c r="V468" s="19"/>
      <c r="W468" s="19"/>
      <c r="X468" s="19"/>
      <c r="Y468" s="19">
        <f t="shared" si="85"/>
        <v>1025.57493</v>
      </c>
      <c r="Z468" s="19">
        <f t="shared" si="84"/>
        <v>0</v>
      </c>
      <c r="AA468" s="19"/>
      <c r="AB468" s="19"/>
      <c r="AC468" s="19"/>
      <c r="AD468" s="19"/>
    </row>
    <row r="469" spans="1:33" x14ac:dyDescent="0.2">
      <c r="A469" s="18"/>
      <c r="C469" s="3" t="s">
        <v>207</v>
      </c>
      <c r="D469" s="19">
        <f>6452902/1000</f>
        <v>6452.902</v>
      </c>
      <c r="E469" s="19">
        <f>[1]TOBEPAID!E351/1000</f>
        <v>5617.6804800000009</v>
      </c>
      <c r="F469" s="19">
        <f>[1]TOBEPAID!F351/1000</f>
        <v>0</v>
      </c>
      <c r="G469" s="19">
        <f>[1]TOBEPAID!G351/1000</f>
        <v>0</v>
      </c>
      <c r="H469" s="19">
        <f>5617680/1000</f>
        <v>5617.68</v>
      </c>
      <c r="I469" s="19">
        <f>[1]TOBEPAID!I351/1000</f>
        <v>0</v>
      </c>
      <c r="J469" s="19">
        <f>[1]TOBEPAID!J351/1000</f>
        <v>0</v>
      </c>
      <c r="K469" s="19">
        <f>[1]TOBEPAID!K351/1000</f>
        <v>0</v>
      </c>
      <c r="L469" s="19">
        <f>[1]TOBEPAID!L351/1000</f>
        <v>0</v>
      </c>
      <c r="M469" s="19">
        <f>[1]TOBEPAID!M351/1000</f>
        <v>0</v>
      </c>
      <c r="N469" s="19">
        <f>[1]TOBEPAID!N351/1000</f>
        <v>5617.6804800000009</v>
      </c>
      <c r="O469" s="19">
        <f>[1]TOBEPAID!O351/1000</f>
        <v>835.22230000000002</v>
      </c>
      <c r="P469" s="19">
        <f>[1]TOBEPAID!P351/1000</f>
        <v>0</v>
      </c>
      <c r="Q469" s="19">
        <f>[1]TOBEPAID!Q351/1000</f>
        <v>0</v>
      </c>
      <c r="R469" s="19">
        <f>835222/1000</f>
        <v>835.22199999999998</v>
      </c>
      <c r="S469" s="19">
        <f>[1]TOBEPAID!S351/1000</f>
        <v>0</v>
      </c>
      <c r="T469" s="19">
        <f>[1]TOBEPAID!T351/1000</f>
        <v>0</v>
      </c>
      <c r="U469" s="19">
        <f>[1]TOBEPAID!U351/1000</f>
        <v>0</v>
      </c>
      <c r="V469" s="19">
        <f>[1]TOBEPAID!V351/1000</f>
        <v>0</v>
      </c>
      <c r="W469" s="19">
        <f>[1]TOBEPAID!W351/1000</f>
        <v>0</v>
      </c>
      <c r="X469" s="19">
        <f>[1]TOBEPAID!X351/1000</f>
        <v>835.22230000000002</v>
      </c>
      <c r="Y469" s="19">
        <f t="shared" si="85"/>
        <v>6452.902</v>
      </c>
      <c r="Z469" s="19">
        <f t="shared" si="84"/>
        <v>0</v>
      </c>
      <c r="AA469" s="19">
        <f>[1]TOBEPAID!AA351/1000</f>
        <v>6452.9027800000003</v>
      </c>
      <c r="AB469" s="19">
        <f>[1]TOBEPAID!AB351/1000</f>
        <v>3047.0972199999997</v>
      </c>
      <c r="AC469" s="19"/>
      <c r="AD469" s="19"/>
    </row>
    <row r="470" spans="1:33" x14ac:dyDescent="0.2">
      <c r="A470" s="18"/>
      <c r="C470" s="3" t="s">
        <v>70</v>
      </c>
      <c r="D470" s="19">
        <f>8500000/1000</f>
        <v>8500</v>
      </c>
      <c r="E470" s="19">
        <f>[1]TOBEPAID!E352/1000</f>
        <v>8500</v>
      </c>
      <c r="F470" s="19">
        <f>[1]TOBEPAID!F352/1000</f>
        <v>0</v>
      </c>
      <c r="G470" s="19">
        <f>[1]TOBEPAID!G352/1000</f>
        <v>0</v>
      </c>
      <c r="H470" s="19">
        <f>8500000/1000</f>
        <v>8500</v>
      </c>
      <c r="I470" s="19">
        <f>[1]TOBEPAID!I352/1000</f>
        <v>0</v>
      </c>
      <c r="J470" s="19">
        <f>[1]TOBEPAID!J352/1000</f>
        <v>0</v>
      </c>
      <c r="K470" s="19">
        <f>[1]TOBEPAID!K352/1000</f>
        <v>0</v>
      </c>
      <c r="L470" s="19">
        <f>[1]TOBEPAID!L352/1000</f>
        <v>0</v>
      </c>
      <c r="M470" s="19">
        <f>[1]TOBEPAID!M352/1000</f>
        <v>0</v>
      </c>
      <c r="N470" s="19">
        <f>[1]TOBEPAID!N352/1000</f>
        <v>8500</v>
      </c>
      <c r="O470" s="19">
        <f>[1]TOBEPAID!O352/1000</f>
        <v>0</v>
      </c>
      <c r="P470" s="19">
        <f>[1]TOBEPAID!P352/1000</f>
        <v>0</v>
      </c>
      <c r="Q470" s="19">
        <f>[1]TOBEPAID!Q352/1000</f>
        <v>0</v>
      </c>
      <c r="R470" s="19">
        <v>0</v>
      </c>
      <c r="S470" s="19">
        <f>[1]TOBEPAID!S352/1000</f>
        <v>0</v>
      </c>
      <c r="T470" s="19">
        <f>[1]TOBEPAID!T352/1000</f>
        <v>0</v>
      </c>
      <c r="U470" s="19">
        <f>[1]TOBEPAID!U352/1000</f>
        <v>0</v>
      </c>
      <c r="V470" s="19">
        <f>[1]TOBEPAID!V352/1000</f>
        <v>0</v>
      </c>
      <c r="W470" s="19">
        <f>[1]TOBEPAID!W352/1000</f>
        <v>0</v>
      </c>
      <c r="X470" s="19">
        <f>[1]TOBEPAID!X352/1000</f>
        <v>0</v>
      </c>
      <c r="Y470" s="19">
        <f t="shared" si="85"/>
        <v>8500</v>
      </c>
      <c r="Z470" s="19">
        <f t="shared" si="84"/>
        <v>0</v>
      </c>
      <c r="AA470" s="19">
        <f>[1]TOBEPAID!AA352/1000</f>
        <v>8500</v>
      </c>
      <c r="AB470" s="19">
        <f>[1]TOBEPAID!AB352/1000</f>
        <v>0</v>
      </c>
      <c r="AC470" s="19"/>
      <c r="AD470" s="19"/>
    </row>
    <row r="471" spans="1:33" x14ac:dyDescent="0.2">
      <c r="A471" s="18"/>
      <c r="D471" s="21" t="s">
        <v>57</v>
      </c>
      <c r="E471" s="21" t="s">
        <v>57</v>
      </c>
      <c r="F471" s="21" t="s">
        <v>57</v>
      </c>
      <c r="G471" s="21"/>
      <c r="H471" s="21" t="s">
        <v>57</v>
      </c>
      <c r="I471" s="21" t="s">
        <v>57</v>
      </c>
      <c r="J471" s="21" t="s">
        <v>57</v>
      </c>
      <c r="K471" s="21" t="s">
        <v>57</v>
      </c>
      <c r="L471" s="21" t="s">
        <v>57</v>
      </c>
      <c r="M471" s="21"/>
      <c r="N471" s="21" t="s">
        <v>57</v>
      </c>
      <c r="O471" s="21" t="s">
        <v>57</v>
      </c>
      <c r="P471" s="21" t="s">
        <v>57</v>
      </c>
      <c r="Q471" s="21"/>
      <c r="R471" s="21" t="s">
        <v>57</v>
      </c>
      <c r="S471" s="21" t="s">
        <v>57</v>
      </c>
      <c r="T471" s="21" t="s">
        <v>57</v>
      </c>
      <c r="U471" s="21" t="s">
        <v>57</v>
      </c>
      <c r="V471" s="21" t="s">
        <v>57</v>
      </c>
      <c r="W471" s="21"/>
      <c r="X471" s="21" t="s">
        <v>57</v>
      </c>
      <c r="Y471" s="21" t="s">
        <v>57</v>
      </c>
      <c r="Z471" s="21" t="s">
        <v>57</v>
      </c>
      <c r="AA471" s="21" t="s">
        <v>57</v>
      </c>
      <c r="AB471" s="21" t="s">
        <v>57</v>
      </c>
      <c r="AC471" s="21"/>
      <c r="AD471" s="21"/>
    </row>
    <row r="472" spans="1:33" x14ac:dyDescent="0.2">
      <c r="A472" s="18"/>
      <c r="D472" s="35">
        <f>SUM(D458:D470)</f>
        <v>100296.25993000001</v>
      </c>
      <c r="E472" s="35">
        <f>SUM(E458:E470)</f>
        <v>23668.720480000004</v>
      </c>
      <c r="F472" s="35">
        <f>SUM(F458:F470)</f>
        <v>0</v>
      </c>
      <c r="G472" s="35"/>
      <c r="H472" s="35">
        <f>SUM(H458:H470)</f>
        <v>79346.344930000007</v>
      </c>
      <c r="I472" s="35">
        <f>SUM(I458:I470)</f>
        <v>0</v>
      </c>
      <c r="J472" s="35">
        <f>SUM(J458:J470)</f>
        <v>0</v>
      </c>
      <c r="K472" s="35">
        <f>SUM(K458:K470)</f>
        <v>0</v>
      </c>
      <c r="L472" s="35">
        <f>SUM(L458:L470)</f>
        <v>0</v>
      </c>
      <c r="M472" s="35"/>
      <c r="N472" s="35">
        <f>SUM(N458:N470)</f>
        <v>23668.720480000004</v>
      </c>
      <c r="O472" s="35">
        <f>SUM(O458:O470)</f>
        <v>17388.157790000001</v>
      </c>
      <c r="P472" s="35">
        <f>SUM(P458:P470)</f>
        <v>0</v>
      </c>
      <c r="Q472" s="35"/>
      <c r="R472" s="35">
        <f>SUM(R458:R470)</f>
        <v>20608.697</v>
      </c>
      <c r="S472" s="35">
        <f>SUM(S458:S470)</f>
        <v>0</v>
      </c>
      <c r="T472" s="35">
        <f>SUM(T458:T470)</f>
        <v>0</v>
      </c>
      <c r="U472" s="35">
        <f>SUM(U458:U470)</f>
        <v>0</v>
      </c>
      <c r="V472" s="35">
        <f>SUM(V458:V470)</f>
        <v>0</v>
      </c>
      <c r="W472" s="35"/>
      <c r="X472" s="35">
        <f>SUM(X458:X470)</f>
        <v>17388.157790000001</v>
      </c>
      <c r="Y472" s="35">
        <f>SUM(Y458:Y470)</f>
        <v>99955.041930000007</v>
      </c>
      <c r="Z472" s="35">
        <f>SUM(Z458:Z470)</f>
        <v>341.21800000000076</v>
      </c>
      <c r="AA472" s="35">
        <f>SUM(AA458:AA470)</f>
        <v>41056.878270000001</v>
      </c>
      <c r="AB472" s="35">
        <f>SUM(AB458:AB470)</f>
        <v>14737.298669999998</v>
      </c>
      <c r="AC472" s="35"/>
      <c r="AD472" s="35"/>
    </row>
    <row r="473" spans="1:33" x14ac:dyDescent="0.2">
      <c r="A473" s="18"/>
      <c r="B473" s="3" t="str">
        <f>+B458</f>
        <v>BATANGAS I</v>
      </c>
      <c r="D473" s="21" t="s">
        <v>57</v>
      </c>
      <c r="E473" s="21" t="s">
        <v>57</v>
      </c>
      <c r="F473" s="21" t="s">
        <v>57</v>
      </c>
      <c r="G473" s="21"/>
      <c r="H473" s="21" t="s">
        <v>57</v>
      </c>
      <c r="I473" s="21" t="s">
        <v>57</v>
      </c>
      <c r="J473" s="21" t="s">
        <v>57</v>
      </c>
      <c r="K473" s="21" t="s">
        <v>57</v>
      </c>
      <c r="L473" s="21" t="s">
        <v>57</v>
      </c>
      <c r="M473" s="21"/>
      <c r="N473" s="21" t="s">
        <v>57</v>
      </c>
      <c r="O473" s="21" t="s">
        <v>57</v>
      </c>
      <c r="P473" s="21" t="s">
        <v>57</v>
      </c>
      <c r="Q473" s="21"/>
      <c r="R473" s="21" t="s">
        <v>57</v>
      </c>
      <c r="S473" s="21" t="s">
        <v>57</v>
      </c>
      <c r="T473" s="21" t="s">
        <v>57</v>
      </c>
      <c r="U473" s="21" t="s">
        <v>57</v>
      </c>
      <c r="V473" s="21" t="s">
        <v>57</v>
      </c>
      <c r="W473" s="21"/>
      <c r="X473" s="21" t="s">
        <v>57</v>
      </c>
      <c r="Y473" s="21" t="s">
        <v>57</v>
      </c>
      <c r="Z473" s="21" t="s">
        <v>57</v>
      </c>
      <c r="AA473" s="21" t="s">
        <v>57</v>
      </c>
      <c r="AB473" s="21" t="s">
        <v>57</v>
      </c>
      <c r="AC473" s="21"/>
      <c r="AD473" s="21"/>
      <c r="AF473" s="59"/>
      <c r="AG473" s="25"/>
    </row>
    <row r="474" spans="1:33" ht="15.75" thickBot="1" x14ac:dyDescent="0.25">
      <c r="A474" s="18"/>
      <c r="B474" s="22" t="s">
        <v>58</v>
      </c>
      <c r="D474" s="23">
        <f>6098042/1000</f>
        <v>6098.0420000000004</v>
      </c>
      <c r="E474" s="19">
        <f>[1]TOBEPAID!E356/1000</f>
        <v>0</v>
      </c>
      <c r="F474" s="19">
        <f>[1]TOBEPAID!F356/1000</f>
        <v>0</v>
      </c>
      <c r="G474" s="19">
        <f>[1]TOBEPAID!G356/1000</f>
        <v>0</v>
      </c>
      <c r="H474" s="19"/>
      <c r="I474" s="19">
        <f>[1]TOBEPAID!I356/1000</f>
        <v>0</v>
      </c>
      <c r="J474" s="19">
        <f>[1]TOBEPAID!J356/1000</f>
        <v>0</v>
      </c>
      <c r="K474" s="19">
        <f>[1]TOBEPAID!K356/1000</f>
        <v>0</v>
      </c>
      <c r="L474" s="19">
        <f>[1]TOBEPAID!L356/1000</f>
        <v>0</v>
      </c>
      <c r="M474" s="19">
        <f>[1]TOBEPAID!M356/1000</f>
        <v>0</v>
      </c>
      <c r="N474" s="19">
        <f>[1]TOBEPAID!N356/1000</f>
        <v>0</v>
      </c>
      <c r="O474" s="19">
        <f>[1]TOBEPAID!O356/1000</f>
        <v>6098.0427799999998</v>
      </c>
      <c r="P474" s="19">
        <f>[1]TOBEPAID!P356/1000</f>
        <v>0</v>
      </c>
      <c r="Q474" s="19">
        <f>[1]TOBEPAID!Q356/1000</f>
        <v>0</v>
      </c>
      <c r="R474" s="23">
        <f t="shared" ref="R474:Y474" si="86">6098042/1000</f>
        <v>6098.0420000000004</v>
      </c>
      <c r="S474" s="23">
        <f t="shared" si="86"/>
        <v>6098.0420000000004</v>
      </c>
      <c r="T474" s="23">
        <f t="shared" si="86"/>
        <v>6098.0420000000004</v>
      </c>
      <c r="U474" s="23">
        <f t="shared" si="86"/>
        <v>6098.0420000000004</v>
      </c>
      <c r="V474" s="23">
        <f t="shared" si="86"/>
        <v>6098.0420000000004</v>
      </c>
      <c r="W474" s="23">
        <f t="shared" si="86"/>
        <v>6098.0420000000004</v>
      </c>
      <c r="X474" s="23">
        <f t="shared" si="86"/>
        <v>6098.0420000000004</v>
      </c>
      <c r="Y474" s="23">
        <f t="shared" si="86"/>
        <v>6098.0420000000004</v>
      </c>
      <c r="Z474" s="23">
        <f t="shared" ref="Z474:Z479" si="87">+D474-Y474</f>
        <v>0</v>
      </c>
      <c r="AA474" s="19">
        <f>[1]TOBEPAID!AA356/1000</f>
        <v>0</v>
      </c>
      <c r="AB474" s="19">
        <f>[1]TOBEPAID!AB356/1000</f>
        <v>0</v>
      </c>
      <c r="AC474" s="19"/>
      <c r="AD474" s="19"/>
      <c r="AE474" s="59"/>
    </row>
    <row r="475" spans="1:33" ht="15.75" thickTop="1" x14ac:dyDescent="0.2">
      <c r="A475" s="18">
        <v>33</v>
      </c>
      <c r="B475" s="3" t="s">
        <v>208</v>
      </c>
      <c r="C475" s="17" t="s">
        <v>51</v>
      </c>
      <c r="D475" s="19">
        <f>130934540/1000</f>
        <v>130934.54</v>
      </c>
      <c r="E475" s="19">
        <f>[1]TOBEPAID!E357/1000</f>
        <v>0</v>
      </c>
      <c r="F475" s="19">
        <f>[1]TOBEPAID!F357/1000</f>
        <v>0</v>
      </c>
      <c r="G475" s="19">
        <f>[1]TOBEPAID!G357/1000</f>
        <v>0</v>
      </c>
      <c r="H475" s="19">
        <f>129871801/1000</f>
        <v>129871.80100000001</v>
      </c>
      <c r="I475" s="19">
        <f>[1]TOBEPAID!I357/1000</f>
        <v>0</v>
      </c>
      <c r="J475" s="19">
        <f>[1]TOBEPAID!J357/1000</f>
        <v>0</v>
      </c>
      <c r="K475" s="19">
        <f>[1]TOBEPAID!K357/1000</f>
        <v>0</v>
      </c>
      <c r="L475" s="19">
        <f>[1]TOBEPAID!L357/1000</f>
        <v>0</v>
      </c>
      <c r="M475" s="19">
        <f>[1]TOBEPAID!M357/1000</f>
        <v>0</v>
      </c>
      <c r="N475" s="19">
        <f>[1]TOBEPAID!N357/1000</f>
        <v>0</v>
      </c>
      <c r="O475" s="19">
        <f>[1]TOBEPAID!O357/1000</f>
        <v>0</v>
      </c>
      <c r="P475" s="19">
        <f>[1]TOBEPAID!P357/1000</f>
        <v>0</v>
      </c>
      <c r="Q475" s="19">
        <f>[1]TOBEPAID!Q357/1000</f>
        <v>0</v>
      </c>
      <c r="R475" s="19">
        <f>1062739/1000</f>
        <v>1062.739</v>
      </c>
      <c r="S475" s="19">
        <f>[1]TOBEPAID!S357/1000</f>
        <v>0</v>
      </c>
      <c r="T475" s="19">
        <f>[1]TOBEPAID!T357/1000</f>
        <v>0</v>
      </c>
      <c r="U475" s="19">
        <f>[1]TOBEPAID!U357/1000</f>
        <v>0</v>
      </c>
      <c r="V475" s="19">
        <f>[1]TOBEPAID!V357/1000</f>
        <v>0</v>
      </c>
      <c r="W475" s="19">
        <f>[1]TOBEPAID!W357/1000</f>
        <v>0</v>
      </c>
      <c r="X475" s="19">
        <f>[1]TOBEPAID!X357/1000</f>
        <v>0</v>
      </c>
      <c r="Y475" s="19">
        <f t="shared" ref="Y475:Y482" si="88">+H475+R475</f>
        <v>130934.54000000001</v>
      </c>
      <c r="Z475" s="19">
        <f t="shared" si="87"/>
        <v>0</v>
      </c>
      <c r="AA475" s="19">
        <f>[1]TOBEPAID!AA357/1000</f>
        <v>0</v>
      </c>
      <c r="AB475" s="19">
        <f>[1]TOBEPAID!AB357/1000</f>
        <v>61659.384090000007</v>
      </c>
      <c r="AC475" s="19"/>
      <c r="AD475" s="19"/>
    </row>
    <row r="476" spans="1:33" x14ac:dyDescent="0.2">
      <c r="A476" s="18"/>
      <c r="C476" s="3" t="s">
        <v>52</v>
      </c>
      <c r="D476" s="19">
        <f>12221009/1000</f>
        <v>12221.009</v>
      </c>
      <c r="E476" s="19">
        <f>[1]TOBEPAID!E358/1000</f>
        <v>12221.009</v>
      </c>
      <c r="F476" s="19">
        <f>[1]TOBEPAID!F358/1000</f>
        <v>0</v>
      </c>
      <c r="G476" s="19">
        <f>[1]TOBEPAID!G358/1000</f>
        <v>0</v>
      </c>
      <c r="H476" s="19">
        <f>12221009/1000</f>
        <v>12221.009</v>
      </c>
      <c r="I476" s="19">
        <f>[1]TOBEPAID!I358/1000</f>
        <v>0</v>
      </c>
      <c r="J476" s="19">
        <f>[1]TOBEPAID!J358/1000</f>
        <v>0</v>
      </c>
      <c r="K476" s="19">
        <f>[1]TOBEPAID!K358/1000</f>
        <v>0</v>
      </c>
      <c r="L476" s="19">
        <f>[1]TOBEPAID!L358/1000</f>
        <v>0</v>
      </c>
      <c r="M476" s="19">
        <f>[1]TOBEPAID!M358/1000</f>
        <v>0</v>
      </c>
      <c r="N476" s="19">
        <f>[1]TOBEPAID!N358/1000</f>
        <v>12221.009</v>
      </c>
      <c r="O476" s="19">
        <f>[1]TOBEPAID!O358/1000</f>
        <v>0</v>
      </c>
      <c r="P476" s="19">
        <f>[1]TOBEPAID!P358/1000</f>
        <v>0</v>
      </c>
      <c r="Q476" s="19">
        <f>[1]TOBEPAID!Q358/1000</f>
        <v>0</v>
      </c>
      <c r="R476" s="19">
        <v>0</v>
      </c>
      <c r="S476" s="19">
        <f>[1]TOBEPAID!S358/1000</f>
        <v>0</v>
      </c>
      <c r="T476" s="19">
        <f>[1]TOBEPAID!T358/1000</f>
        <v>0</v>
      </c>
      <c r="U476" s="19">
        <f>[1]TOBEPAID!U358/1000</f>
        <v>0</v>
      </c>
      <c r="V476" s="19">
        <f>[1]TOBEPAID!V358/1000</f>
        <v>0</v>
      </c>
      <c r="W476" s="19">
        <f>[1]TOBEPAID!W358/1000</f>
        <v>0</v>
      </c>
      <c r="X476" s="19">
        <f>[1]TOBEPAID!X358/1000</f>
        <v>0</v>
      </c>
      <c r="Y476" s="19">
        <f t="shared" si="88"/>
        <v>12221.009</v>
      </c>
      <c r="Z476" s="19">
        <f t="shared" si="87"/>
        <v>0</v>
      </c>
      <c r="AA476" s="19">
        <f>[1]TOBEPAID!AA358/1000</f>
        <v>12221.009</v>
      </c>
      <c r="AB476" s="19">
        <f>[1]TOBEPAID!AB358/1000</f>
        <v>0</v>
      </c>
      <c r="AC476" s="19"/>
      <c r="AD476" s="19"/>
    </row>
    <row r="477" spans="1:33" x14ac:dyDescent="0.2">
      <c r="A477" s="18"/>
      <c r="C477" s="3" t="s">
        <v>160</v>
      </c>
      <c r="D477" s="19">
        <f>41308000/1000</f>
        <v>41308</v>
      </c>
      <c r="E477" s="19"/>
      <c r="F477" s="19"/>
      <c r="G477" s="19"/>
      <c r="H477" s="19">
        <f>41308000/1000</f>
        <v>41308</v>
      </c>
      <c r="I477" s="19"/>
      <c r="J477" s="19"/>
      <c r="K477" s="19"/>
      <c r="L477" s="19"/>
      <c r="M477" s="19"/>
      <c r="N477" s="19"/>
      <c r="O477" s="19"/>
      <c r="P477" s="19"/>
      <c r="Q477" s="19"/>
      <c r="R477" s="19">
        <v>0</v>
      </c>
      <c r="S477" s="19"/>
      <c r="T477" s="19"/>
      <c r="U477" s="19"/>
      <c r="V477" s="19"/>
      <c r="W477" s="19"/>
      <c r="X477" s="19"/>
      <c r="Y477" s="19">
        <f>+H477+R477</f>
        <v>41308</v>
      </c>
      <c r="Z477" s="19">
        <f t="shared" si="87"/>
        <v>0</v>
      </c>
      <c r="AA477" s="19"/>
      <c r="AB477" s="19"/>
      <c r="AC477" s="19"/>
      <c r="AD477" s="19"/>
    </row>
    <row r="478" spans="1:33" x14ac:dyDescent="0.2">
      <c r="A478" s="18"/>
      <c r="C478" s="3" t="s">
        <v>74</v>
      </c>
      <c r="D478" s="19">
        <f>78000000/1000</f>
        <v>78000</v>
      </c>
      <c r="E478" s="19"/>
      <c r="F478" s="19"/>
      <c r="G478" s="19"/>
      <c r="H478" s="19">
        <f>77978845/1000</f>
        <v>77978.845000000001</v>
      </c>
      <c r="I478" s="19"/>
      <c r="J478" s="19"/>
      <c r="K478" s="19"/>
      <c r="L478" s="19"/>
      <c r="M478" s="19"/>
      <c r="N478" s="19"/>
      <c r="O478" s="19"/>
      <c r="P478" s="19"/>
      <c r="Q478" s="19"/>
      <c r="R478" s="19">
        <v>0</v>
      </c>
      <c r="S478" s="19"/>
      <c r="T478" s="19"/>
      <c r="U478" s="19"/>
      <c r="V478" s="19"/>
      <c r="W478" s="19"/>
      <c r="X478" s="19"/>
      <c r="Y478" s="19">
        <f>+H478+R478</f>
        <v>77978.845000000001</v>
      </c>
      <c r="Z478" s="19">
        <f t="shared" si="87"/>
        <v>21.154999999998836</v>
      </c>
      <c r="AA478" s="19"/>
      <c r="AB478" s="19"/>
      <c r="AC478" s="19"/>
      <c r="AD478" s="19"/>
    </row>
    <row r="479" spans="1:33" x14ac:dyDescent="0.2">
      <c r="C479" s="3" t="s">
        <v>79</v>
      </c>
      <c r="D479" s="3">
        <f>5607250.84/1000</f>
        <v>5607.2508399999997</v>
      </c>
      <c r="H479" s="3">
        <f>5607250.84/1000</f>
        <v>5607.2508399999997</v>
      </c>
      <c r="R479" s="19">
        <v>0</v>
      </c>
      <c r="Y479" s="19">
        <f t="shared" si="88"/>
        <v>5607.2508399999997</v>
      </c>
      <c r="Z479" s="19">
        <f t="shared" si="87"/>
        <v>0</v>
      </c>
    </row>
    <row r="480" spans="1:33" x14ac:dyDescent="0.2">
      <c r="A480" s="18"/>
      <c r="C480" s="3" t="s">
        <v>96</v>
      </c>
      <c r="D480" s="19">
        <f>46322082/1000</f>
        <v>46322.082000000002</v>
      </c>
      <c r="E480" s="19">
        <f>[1]TOBEPAID!E359/1000</f>
        <v>0</v>
      </c>
      <c r="F480" s="19">
        <f>[1]TOBEPAID!F359/1000</f>
        <v>0</v>
      </c>
      <c r="G480" s="19">
        <f>[1]TOBEPAID!G359/1000</f>
        <v>0</v>
      </c>
      <c r="H480" s="19">
        <v>0</v>
      </c>
      <c r="I480" s="19">
        <f>[1]TOBEPAID!I359/1000</f>
        <v>0</v>
      </c>
      <c r="J480" s="19">
        <f>[1]TOBEPAID!J359/1000</f>
        <v>0</v>
      </c>
      <c r="K480" s="19">
        <f>[1]TOBEPAID!K359/1000</f>
        <v>0</v>
      </c>
      <c r="L480" s="19">
        <f>[1]TOBEPAID!L359/1000</f>
        <v>0</v>
      </c>
      <c r="M480" s="19">
        <f>[1]TOBEPAID!M359/1000</f>
        <v>0</v>
      </c>
      <c r="N480" s="19">
        <f>[1]TOBEPAID!N359/1000</f>
        <v>0</v>
      </c>
      <c r="O480" s="19">
        <f>[1]TOBEPAID!O359/1000</f>
        <v>46303.45046</v>
      </c>
      <c r="P480" s="19">
        <f>[1]TOBEPAID!P359/1000</f>
        <v>0</v>
      </c>
      <c r="Q480" s="19">
        <f>[1]TOBEPAID!Q359/1000</f>
        <v>0</v>
      </c>
      <c r="R480" s="19">
        <f>46322082.11/1000</f>
        <v>46322.082110000003</v>
      </c>
      <c r="S480" s="19">
        <f>[1]TOBEPAID!S359/1000</f>
        <v>0</v>
      </c>
      <c r="T480" s="19">
        <f>[1]TOBEPAID!T359/1000</f>
        <v>0</v>
      </c>
      <c r="U480" s="19">
        <f>[1]TOBEPAID!U359/1000</f>
        <v>0</v>
      </c>
      <c r="V480" s="19">
        <f>[1]TOBEPAID!V359/1000</f>
        <v>0</v>
      </c>
      <c r="W480" s="19">
        <f>[1]TOBEPAID!W359/1000</f>
        <v>0</v>
      </c>
      <c r="X480" s="19">
        <f>[1]TOBEPAID!X359/1000</f>
        <v>46303.45046</v>
      </c>
      <c r="Y480" s="19">
        <f t="shared" si="88"/>
        <v>46322.082110000003</v>
      </c>
      <c r="Z480" s="19">
        <f>+Y480-D480</f>
        <v>1.1000000085914508E-4</v>
      </c>
      <c r="AA480" s="19">
        <f>[1]TOBEPAID!AA359/1000</f>
        <v>46303.45046</v>
      </c>
      <c r="AB480" s="19">
        <f>[1]TOBEPAID!AB359/1000</f>
        <v>69293.788530000005</v>
      </c>
      <c r="AC480" s="19"/>
      <c r="AD480" s="19"/>
    </row>
    <row r="481" spans="1:30" x14ac:dyDescent="0.2">
      <c r="A481" s="18"/>
      <c r="C481" s="3" t="s">
        <v>97</v>
      </c>
      <c r="D481" s="19">
        <f>26496892/1000</f>
        <v>26496.892</v>
      </c>
      <c r="E481" s="19">
        <f>[1]TOBEPAID!E360/1000</f>
        <v>0</v>
      </c>
      <c r="F481" s="19">
        <f>[1]TOBEPAID!F360/1000</f>
        <v>0</v>
      </c>
      <c r="G481" s="19">
        <f>[1]TOBEPAID!G360/1000</f>
        <v>0</v>
      </c>
      <c r="H481" s="19">
        <v>0</v>
      </c>
      <c r="I481" s="19">
        <f>[1]TOBEPAID!I360/1000</f>
        <v>0</v>
      </c>
      <c r="J481" s="19">
        <f>[1]TOBEPAID!J360/1000</f>
        <v>0</v>
      </c>
      <c r="K481" s="19">
        <f>[1]TOBEPAID!K360/1000</f>
        <v>0</v>
      </c>
      <c r="L481" s="19">
        <f>[1]TOBEPAID!L360/1000</f>
        <v>0</v>
      </c>
      <c r="M481" s="19">
        <f>[1]TOBEPAID!M360/1000</f>
        <v>0</v>
      </c>
      <c r="N481" s="19">
        <f>[1]TOBEPAID!N360/1000</f>
        <v>0</v>
      </c>
      <c r="O481" s="19">
        <f>[1]TOBEPAID!O360/1000</f>
        <v>26496.892829999997</v>
      </c>
      <c r="P481" s="19">
        <f>[1]TOBEPAID!P360/1000</f>
        <v>0</v>
      </c>
      <c r="Q481" s="19">
        <f>[1]TOBEPAID!Q360/1000</f>
        <v>0</v>
      </c>
      <c r="R481" s="19">
        <f>26496892/1000</f>
        <v>26496.892</v>
      </c>
      <c r="S481" s="19">
        <f>[1]TOBEPAID!S360/1000</f>
        <v>0</v>
      </c>
      <c r="T481" s="19">
        <f>[1]TOBEPAID!T360/1000</f>
        <v>0</v>
      </c>
      <c r="U481" s="19">
        <f>[1]TOBEPAID!U360/1000</f>
        <v>0</v>
      </c>
      <c r="V481" s="19">
        <f>[1]TOBEPAID!V360/1000</f>
        <v>0</v>
      </c>
      <c r="W481" s="19">
        <f>[1]TOBEPAID!W360/1000</f>
        <v>0</v>
      </c>
      <c r="X481" s="19">
        <f>[1]TOBEPAID!X360/1000</f>
        <v>26496.892829999997</v>
      </c>
      <c r="Y481" s="19">
        <f t="shared" si="88"/>
        <v>26496.892</v>
      </c>
      <c r="Z481" s="19">
        <f>+D481-Y481</f>
        <v>0</v>
      </c>
      <c r="AA481" s="19">
        <f>[1]TOBEPAID!AA360/1000</f>
        <v>26496.892829999997</v>
      </c>
      <c r="AB481" s="19">
        <f>[1]TOBEPAID!AB360/1000</f>
        <v>0</v>
      </c>
      <c r="AC481" s="19"/>
      <c r="AD481" s="19"/>
    </row>
    <row r="482" spans="1:30" x14ac:dyDescent="0.2">
      <c r="A482" s="18"/>
      <c r="C482" s="3" t="s">
        <v>70</v>
      </c>
      <c r="D482" s="19">
        <f>10000000/1000</f>
        <v>10000</v>
      </c>
      <c r="E482" s="19">
        <f>[1]TOBEPAID!E361/1000</f>
        <v>10000</v>
      </c>
      <c r="F482" s="19">
        <f>[1]TOBEPAID!F361/1000</f>
        <v>0</v>
      </c>
      <c r="G482" s="19">
        <f>[1]TOBEPAID!G361/1000</f>
        <v>0</v>
      </c>
      <c r="H482" s="19">
        <f>10000000/1000</f>
        <v>10000</v>
      </c>
      <c r="I482" s="19">
        <f>[1]TOBEPAID!I361/1000</f>
        <v>0</v>
      </c>
      <c r="J482" s="19">
        <f>[1]TOBEPAID!J361/1000</f>
        <v>0</v>
      </c>
      <c r="K482" s="19">
        <f>[1]TOBEPAID!K361/1000</f>
        <v>0</v>
      </c>
      <c r="L482" s="19">
        <f>[1]TOBEPAID!L361/1000</f>
        <v>0</v>
      </c>
      <c r="M482" s="19">
        <f>[1]TOBEPAID!M361/1000</f>
        <v>0</v>
      </c>
      <c r="N482" s="19">
        <f>[1]TOBEPAID!N361/1000</f>
        <v>10000</v>
      </c>
      <c r="O482" s="19">
        <f>[1]TOBEPAID!O361/1000</f>
        <v>0</v>
      </c>
      <c r="P482" s="19">
        <f>[1]TOBEPAID!P361/1000</f>
        <v>0</v>
      </c>
      <c r="Q482" s="19">
        <f>[1]TOBEPAID!Q361/1000</f>
        <v>0</v>
      </c>
      <c r="R482" s="19">
        <v>0</v>
      </c>
      <c r="S482" s="19">
        <f>[1]TOBEPAID!S361/1000</f>
        <v>0</v>
      </c>
      <c r="T482" s="19">
        <f>[1]TOBEPAID!T361/1000</f>
        <v>0</v>
      </c>
      <c r="U482" s="19">
        <f>[1]TOBEPAID!U361/1000</f>
        <v>0</v>
      </c>
      <c r="V482" s="19">
        <f>[1]TOBEPAID!V361/1000</f>
        <v>0</v>
      </c>
      <c r="W482" s="19">
        <f>[1]TOBEPAID!W361/1000</f>
        <v>0</v>
      </c>
      <c r="X482" s="19">
        <f>[1]TOBEPAID!X361/1000</f>
        <v>0</v>
      </c>
      <c r="Y482" s="19">
        <f t="shared" si="88"/>
        <v>10000</v>
      </c>
      <c r="Z482" s="19">
        <f>+D482-Y482</f>
        <v>0</v>
      </c>
      <c r="AA482" s="19">
        <f>[1]TOBEPAID!AA361/1000</f>
        <v>10000</v>
      </c>
      <c r="AB482" s="19">
        <f>[1]TOBEPAID!AB361/1000</f>
        <v>0</v>
      </c>
      <c r="AC482" s="19"/>
      <c r="AD482" s="19"/>
    </row>
    <row r="483" spans="1:30" x14ac:dyDescent="0.2">
      <c r="A483" s="18"/>
      <c r="D483" s="21" t="s">
        <v>57</v>
      </c>
      <c r="E483" s="21" t="s">
        <v>57</v>
      </c>
      <c r="F483" s="21" t="s">
        <v>57</v>
      </c>
      <c r="G483" s="21"/>
      <c r="H483" s="21" t="s">
        <v>57</v>
      </c>
      <c r="I483" s="21" t="s">
        <v>57</v>
      </c>
      <c r="J483" s="21" t="s">
        <v>57</v>
      </c>
      <c r="K483" s="21" t="s">
        <v>57</v>
      </c>
      <c r="L483" s="21" t="s">
        <v>57</v>
      </c>
      <c r="M483" s="21"/>
      <c r="N483" s="21" t="s">
        <v>57</v>
      </c>
      <c r="O483" s="21" t="s">
        <v>57</v>
      </c>
      <c r="P483" s="21" t="s">
        <v>57</v>
      </c>
      <c r="Q483" s="21"/>
      <c r="R483" s="21" t="s">
        <v>57</v>
      </c>
      <c r="S483" s="21" t="s">
        <v>57</v>
      </c>
      <c r="T483" s="21" t="s">
        <v>57</v>
      </c>
      <c r="U483" s="21" t="s">
        <v>57</v>
      </c>
      <c r="V483" s="21" t="s">
        <v>57</v>
      </c>
      <c r="W483" s="21"/>
      <c r="X483" s="21" t="s">
        <v>57</v>
      </c>
      <c r="Y483" s="21" t="s">
        <v>57</v>
      </c>
      <c r="Z483" s="21" t="s">
        <v>57</v>
      </c>
      <c r="AA483" s="21" t="s">
        <v>57</v>
      </c>
      <c r="AB483" s="21" t="s">
        <v>57</v>
      </c>
      <c r="AC483" s="21"/>
      <c r="AD483" s="21"/>
    </row>
    <row r="484" spans="1:30" x14ac:dyDescent="0.2">
      <c r="A484" s="18"/>
      <c r="D484" s="35">
        <f>SUM(D475:D482)</f>
        <v>350889.77383999998</v>
      </c>
      <c r="E484" s="35">
        <f>SUM(E475:E482)</f>
        <v>22221.008999999998</v>
      </c>
      <c r="F484" s="35">
        <f>SUM(F475:F482)</f>
        <v>0</v>
      </c>
      <c r="G484" s="35"/>
      <c r="H484" s="35">
        <f>SUM(H475:H482)</f>
        <v>276986.90584000002</v>
      </c>
      <c r="I484" s="35">
        <f>SUM(I475:I482)</f>
        <v>0</v>
      </c>
      <c r="J484" s="35">
        <f>SUM(J475:J482)</f>
        <v>0</v>
      </c>
      <c r="K484" s="35">
        <f>SUM(K475:K482)</f>
        <v>0</v>
      </c>
      <c r="L484" s="35">
        <f>SUM(L475:L482)</f>
        <v>0</v>
      </c>
      <c r="M484" s="35"/>
      <c r="N484" s="35">
        <f>SUM(N475:N482)</f>
        <v>22221.008999999998</v>
      </c>
      <c r="O484" s="35">
        <f>SUM(O475:O482)</f>
        <v>72800.34328999999</v>
      </c>
      <c r="P484" s="35">
        <f>SUM(P475:P482)</f>
        <v>0</v>
      </c>
      <c r="Q484" s="35"/>
      <c r="R484" s="35">
        <f>SUM(R475:R482)</f>
        <v>73881.713110000012</v>
      </c>
      <c r="S484" s="35">
        <f>SUM(S475:S482)</f>
        <v>0</v>
      </c>
      <c r="T484" s="35">
        <f>SUM(T475:T482)</f>
        <v>0</v>
      </c>
      <c r="U484" s="35">
        <f>SUM(U475:U482)</f>
        <v>0</v>
      </c>
      <c r="V484" s="35">
        <f>SUM(V475:V482)</f>
        <v>0</v>
      </c>
      <c r="W484" s="35"/>
      <c r="X484" s="35">
        <f>SUM(X475:X482)</f>
        <v>72800.34328999999</v>
      </c>
      <c r="Y484" s="35">
        <f>SUM(Y475:Y482)</f>
        <v>350868.61894999997</v>
      </c>
      <c r="Z484" s="35">
        <f>SUM(Z475:Z482)</f>
        <v>21.155109999999695</v>
      </c>
      <c r="AA484" s="35">
        <f>SUM(AA475:AA482)</f>
        <v>95021.352289999995</v>
      </c>
      <c r="AB484" s="35">
        <f>SUM(AB475:AB482)</f>
        <v>130953.17262000001</v>
      </c>
      <c r="AC484" s="35"/>
      <c r="AD484" s="35"/>
    </row>
    <row r="485" spans="1:30" x14ac:dyDescent="0.2">
      <c r="A485" s="18"/>
      <c r="B485" s="3" t="str">
        <f>+B475</f>
        <v>BATANGAS II</v>
      </c>
      <c r="D485" s="21" t="s">
        <v>57</v>
      </c>
      <c r="E485" s="21" t="s">
        <v>57</v>
      </c>
      <c r="F485" s="21" t="s">
        <v>57</v>
      </c>
      <c r="G485" s="21"/>
      <c r="H485" s="21" t="s">
        <v>57</v>
      </c>
      <c r="I485" s="21" t="s">
        <v>57</v>
      </c>
      <c r="J485" s="21" t="s">
        <v>57</v>
      </c>
      <c r="K485" s="21" t="s">
        <v>57</v>
      </c>
      <c r="L485" s="21" t="s">
        <v>57</v>
      </c>
      <c r="M485" s="21"/>
      <c r="N485" s="21" t="s">
        <v>57</v>
      </c>
      <c r="O485" s="21" t="s">
        <v>57</v>
      </c>
      <c r="P485" s="21" t="s">
        <v>57</v>
      </c>
      <c r="Q485" s="21"/>
      <c r="R485" s="21" t="s">
        <v>57</v>
      </c>
      <c r="S485" s="21" t="s">
        <v>57</v>
      </c>
      <c r="T485" s="21" t="s">
        <v>57</v>
      </c>
      <c r="U485" s="21" t="s">
        <v>57</v>
      </c>
      <c r="V485" s="21" t="s">
        <v>57</v>
      </c>
      <c r="W485" s="21"/>
      <c r="X485" s="21" t="s">
        <v>57</v>
      </c>
      <c r="Y485" s="21" t="s">
        <v>57</v>
      </c>
      <c r="Z485" s="21" t="s">
        <v>57</v>
      </c>
      <c r="AA485" s="21" t="s">
        <v>57</v>
      </c>
      <c r="AB485" s="21" t="s">
        <v>57</v>
      </c>
      <c r="AC485" s="21"/>
      <c r="AD485" s="21"/>
    </row>
    <row r="486" spans="1:30" ht="15.75" thickBot="1" x14ac:dyDescent="0.25">
      <c r="A486" s="18"/>
      <c r="B486" s="22" t="s">
        <v>58</v>
      </c>
      <c r="D486" s="23">
        <f>1168518.22/1000</f>
        <v>1168.5182199999999</v>
      </c>
      <c r="E486" s="19">
        <f>[1]TOBEPAID!E365/1000</f>
        <v>0</v>
      </c>
      <c r="F486" s="19">
        <f>[1]TOBEPAID!F365/1000</f>
        <v>0</v>
      </c>
      <c r="G486" s="19">
        <f>[1]TOBEPAID!G365/1000</f>
        <v>0</v>
      </c>
      <c r="H486" s="19"/>
      <c r="I486" s="19">
        <f>[1]TOBEPAID!I365/1000</f>
        <v>0</v>
      </c>
      <c r="J486" s="19">
        <f>[1]TOBEPAID!J365/1000</f>
        <v>0</v>
      </c>
      <c r="K486" s="19">
        <f>[1]TOBEPAID!K365/1000</f>
        <v>0</v>
      </c>
      <c r="L486" s="19">
        <f>[1]TOBEPAID!L365/1000</f>
        <v>0</v>
      </c>
      <c r="M486" s="19">
        <f>[1]TOBEPAID!M365/1000</f>
        <v>0</v>
      </c>
      <c r="N486" s="19">
        <f>[1]TOBEPAID!N365/1000</f>
        <v>0</v>
      </c>
      <c r="O486" s="19">
        <f>[1]TOBEPAID!O365/1000</f>
        <v>1168.5182199999999</v>
      </c>
      <c r="P486" s="19">
        <f>[1]TOBEPAID!P365/1000</f>
        <v>0</v>
      </c>
      <c r="Q486" s="19">
        <f>[1]TOBEPAID!Q365/1000</f>
        <v>0</v>
      </c>
      <c r="R486" s="23">
        <f t="shared" ref="R486:Y486" si="89">1168518.22/1000</f>
        <v>1168.5182199999999</v>
      </c>
      <c r="S486" s="23">
        <f t="shared" si="89"/>
        <v>1168.5182199999999</v>
      </c>
      <c r="T486" s="23">
        <f t="shared" si="89"/>
        <v>1168.5182199999999</v>
      </c>
      <c r="U486" s="23">
        <f t="shared" si="89"/>
        <v>1168.5182199999999</v>
      </c>
      <c r="V486" s="23">
        <f t="shared" si="89"/>
        <v>1168.5182199999999</v>
      </c>
      <c r="W486" s="23">
        <f t="shared" si="89"/>
        <v>1168.5182199999999</v>
      </c>
      <c r="X486" s="23">
        <f t="shared" si="89"/>
        <v>1168.5182199999999</v>
      </c>
      <c r="Y486" s="23">
        <f t="shared" si="89"/>
        <v>1168.5182199999999</v>
      </c>
      <c r="Z486" s="23">
        <f t="shared" ref="Z486:Z496" si="90">+D486-Y486</f>
        <v>0</v>
      </c>
      <c r="AA486" s="19">
        <f>[1]TOBEPAID!AA365/1000</f>
        <v>0</v>
      </c>
      <c r="AB486" s="19">
        <f>[1]TOBEPAID!AB365/1000</f>
        <v>0</v>
      </c>
      <c r="AC486" s="19"/>
      <c r="AD486" s="19"/>
    </row>
    <row r="487" spans="1:30" ht="15.75" thickTop="1" x14ac:dyDescent="0.2">
      <c r="A487" s="18">
        <v>34</v>
      </c>
      <c r="B487" s="3" t="s">
        <v>209</v>
      </c>
      <c r="C487" s="17" t="s">
        <v>51</v>
      </c>
      <c r="D487" s="19">
        <f>6191000/1000</f>
        <v>6191</v>
      </c>
      <c r="E487" s="19">
        <f>[1]TOBEPAID!E366/1000</f>
        <v>0</v>
      </c>
      <c r="F487" s="19">
        <f>[1]TOBEPAID!F366/1000</f>
        <v>0</v>
      </c>
      <c r="G487" s="19">
        <f>[1]TOBEPAID!G366/1000</f>
        <v>0</v>
      </c>
      <c r="H487" s="19">
        <f>6191000/1000</f>
        <v>6191</v>
      </c>
      <c r="I487" s="19">
        <f>[1]TOBEPAID!I366/1000</f>
        <v>0</v>
      </c>
      <c r="J487" s="19">
        <f>[1]TOBEPAID!J366/1000</f>
        <v>0</v>
      </c>
      <c r="K487" s="19">
        <f>[1]TOBEPAID!K366/1000</f>
        <v>0</v>
      </c>
      <c r="L487" s="19">
        <f>[1]TOBEPAID!L366/1000</f>
        <v>0</v>
      </c>
      <c r="M487" s="19">
        <f>[1]TOBEPAID!M366/1000</f>
        <v>0</v>
      </c>
      <c r="N487" s="19">
        <f>[1]TOBEPAID!N366/1000</f>
        <v>0</v>
      </c>
      <c r="O487" s="19">
        <f>[1]TOBEPAID!O366/1000</f>
        <v>0</v>
      </c>
      <c r="P487" s="19">
        <f>[1]TOBEPAID!P366/1000</f>
        <v>0</v>
      </c>
      <c r="Q487" s="19">
        <f>[1]TOBEPAID!Q366/1000</f>
        <v>0</v>
      </c>
      <c r="R487" s="19">
        <v>0</v>
      </c>
      <c r="S487" s="19">
        <f>[1]TOBEPAID!S366/1000</f>
        <v>0</v>
      </c>
      <c r="T487" s="19">
        <f>[1]TOBEPAID!T366/1000</f>
        <v>0</v>
      </c>
      <c r="U487" s="19">
        <f>[1]TOBEPAID!U366/1000</f>
        <v>0</v>
      </c>
      <c r="V487" s="19">
        <f>[1]TOBEPAID!V366/1000</f>
        <v>0</v>
      </c>
      <c r="W487" s="19">
        <f>[1]TOBEPAID!W366/1000</f>
        <v>0</v>
      </c>
      <c r="X487" s="19">
        <f>[1]TOBEPAID!X366/1000</f>
        <v>0</v>
      </c>
      <c r="Y487" s="19">
        <f>+H487+R487</f>
        <v>6191</v>
      </c>
      <c r="Z487" s="19">
        <f t="shared" si="90"/>
        <v>0</v>
      </c>
      <c r="AA487" s="19">
        <f>[1]TOBEPAID!AA366/1000</f>
        <v>0</v>
      </c>
      <c r="AB487" s="19">
        <f>[1]TOBEPAID!AB366/1000</f>
        <v>0</v>
      </c>
      <c r="AC487" s="19"/>
      <c r="AD487" s="19"/>
    </row>
    <row r="488" spans="1:30" x14ac:dyDescent="0.2">
      <c r="A488" s="18"/>
      <c r="C488" s="17" t="s">
        <v>180</v>
      </c>
      <c r="D488" s="19">
        <f>213719000/1000</f>
        <v>213719</v>
      </c>
      <c r="E488" s="19"/>
      <c r="F488" s="19"/>
      <c r="G488" s="19"/>
      <c r="H488" s="19">
        <f>163544587.43/1000</f>
        <v>163544.58743000001</v>
      </c>
      <c r="I488" s="19"/>
      <c r="J488" s="19"/>
      <c r="K488" s="19"/>
      <c r="L488" s="19"/>
      <c r="M488" s="19"/>
      <c r="N488" s="19"/>
      <c r="O488" s="19"/>
      <c r="P488" s="19"/>
      <c r="Q488" s="19"/>
      <c r="R488" s="19">
        <f>580295/1000</f>
        <v>580.29499999999996</v>
      </c>
      <c r="S488" s="19"/>
      <c r="T488" s="19"/>
      <c r="U488" s="19"/>
      <c r="V488" s="19"/>
      <c r="W488" s="19"/>
      <c r="X488" s="19"/>
      <c r="Y488" s="19">
        <f t="shared" ref="Y488:Y496" si="91">+H488+R488</f>
        <v>164124.88243000003</v>
      </c>
      <c r="Z488" s="19">
        <f t="shared" si="90"/>
        <v>49594.117569999973</v>
      </c>
      <c r="AA488" s="19"/>
      <c r="AB488" s="19"/>
      <c r="AC488" s="19"/>
      <c r="AD488" s="19"/>
    </row>
    <row r="489" spans="1:30" x14ac:dyDescent="0.2">
      <c r="A489" s="18"/>
      <c r="C489" s="17" t="s">
        <v>210</v>
      </c>
      <c r="D489" s="19">
        <f>6000000/1000</f>
        <v>6000</v>
      </c>
      <c r="E489" s="19"/>
      <c r="F489" s="19"/>
      <c r="G489" s="19"/>
      <c r="H489" s="19">
        <f>6000000/1000</f>
        <v>6000</v>
      </c>
      <c r="I489" s="19"/>
      <c r="J489" s="19"/>
      <c r="K489" s="19"/>
      <c r="L489" s="19"/>
      <c r="M489" s="19"/>
      <c r="N489" s="19"/>
      <c r="O489" s="19"/>
      <c r="P489" s="19"/>
      <c r="Q489" s="19"/>
      <c r="R489" s="19">
        <v>0</v>
      </c>
      <c r="S489" s="19"/>
      <c r="T489" s="19"/>
      <c r="U489" s="19"/>
      <c r="V489" s="19"/>
      <c r="W489" s="19"/>
      <c r="X489" s="19"/>
      <c r="Y489" s="19">
        <f>+H489+R489</f>
        <v>6000</v>
      </c>
      <c r="Z489" s="19">
        <f>+D489-Y489</f>
        <v>0</v>
      </c>
      <c r="AA489" s="19"/>
      <c r="AB489" s="19"/>
      <c r="AC489" s="19"/>
      <c r="AD489" s="19"/>
    </row>
    <row r="490" spans="1:30" x14ac:dyDescent="0.2">
      <c r="A490" s="18"/>
      <c r="C490" s="3" t="s">
        <v>52</v>
      </c>
      <c r="D490" s="19">
        <f>2018058/1000</f>
        <v>2018.058</v>
      </c>
      <c r="E490" s="19">
        <f>[1]TOBEPAID!E367/1000</f>
        <v>2018.058</v>
      </c>
      <c r="F490" s="19">
        <f>[1]TOBEPAID!F367/1000</f>
        <v>0</v>
      </c>
      <c r="G490" s="19">
        <f>[1]TOBEPAID!G367/1000</f>
        <v>0</v>
      </c>
      <c r="H490" s="19">
        <f>2018058/1000</f>
        <v>2018.058</v>
      </c>
      <c r="I490" s="19">
        <f>[1]TOBEPAID!I367/1000</f>
        <v>0</v>
      </c>
      <c r="J490" s="19">
        <f>[1]TOBEPAID!J367/1000</f>
        <v>0</v>
      </c>
      <c r="K490" s="19">
        <f>[1]TOBEPAID!K367/1000</f>
        <v>0</v>
      </c>
      <c r="L490" s="19">
        <f>[1]TOBEPAID!L367/1000</f>
        <v>0</v>
      </c>
      <c r="M490" s="19">
        <f>[1]TOBEPAID!M367/1000</f>
        <v>0</v>
      </c>
      <c r="N490" s="19">
        <f>[1]TOBEPAID!N367/1000</f>
        <v>2018.058</v>
      </c>
      <c r="O490" s="19">
        <f>[1]TOBEPAID!O367/1000</f>
        <v>0</v>
      </c>
      <c r="P490" s="19">
        <f>[1]TOBEPAID!P367/1000</f>
        <v>0</v>
      </c>
      <c r="Q490" s="19">
        <f>[1]TOBEPAID!Q367/1000</f>
        <v>0</v>
      </c>
      <c r="R490" s="19">
        <v>0</v>
      </c>
      <c r="S490" s="19">
        <f>[1]TOBEPAID!S367/1000</f>
        <v>0</v>
      </c>
      <c r="T490" s="19">
        <f>[1]TOBEPAID!T367/1000</f>
        <v>0</v>
      </c>
      <c r="U490" s="19">
        <f>[1]TOBEPAID!U367/1000</f>
        <v>0</v>
      </c>
      <c r="V490" s="19">
        <f>[1]TOBEPAID!V367/1000</f>
        <v>0</v>
      </c>
      <c r="W490" s="19">
        <f>[1]TOBEPAID!W367/1000</f>
        <v>0</v>
      </c>
      <c r="X490" s="19">
        <f>[1]TOBEPAID!X367/1000</f>
        <v>0</v>
      </c>
      <c r="Y490" s="19">
        <f t="shared" si="91"/>
        <v>2018.058</v>
      </c>
      <c r="Z490" s="19">
        <f t="shared" si="90"/>
        <v>0</v>
      </c>
      <c r="AA490" s="19">
        <f>[1]TOBEPAID!AA367/1000</f>
        <v>2018.058</v>
      </c>
      <c r="AB490" s="19">
        <f>[1]TOBEPAID!AB367/1000</f>
        <v>0</v>
      </c>
      <c r="AC490" s="19"/>
      <c r="AD490" s="19"/>
    </row>
    <row r="491" spans="1:30" x14ac:dyDescent="0.2">
      <c r="A491" s="18"/>
      <c r="C491" s="3" t="s">
        <v>67</v>
      </c>
      <c r="D491" s="19">
        <f>286000000/1000</f>
        <v>286000</v>
      </c>
      <c r="E491" s="19"/>
      <c r="F491" s="19"/>
      <c r="G491" s="19"/>
      <c r="H491" s="19">
        <f>286000000/1000</f>
        <v>286000</v>
      </c>
      <c r="I491" s="19"/>
      <c r="J491" s="19"/>
      <c r="K491" s="19"/>
      <c r="L491" s="19"/>
      <c r="M491" s="19"/>
      <c r="N491" s="19"/>
      <c r="O491" s="19"/>
      <c r="P491" s="19"/>
      <c r="Q491" s="19"/>
      <c r="R491" s="19">
        <v>0</v>
      </c>
      <c r="S491" s="19"/>
      <c r="T491" s="19"/>
      <c r="U491" s="19"/>
      <c r="V491" s="19"/>
      <c r="W491" s="19"/>
      <c r="X491" s="19"/>
      <c r="Y491" s="19">
        <f t="shared" si="91"/>
        <v>286000</v>
      </c>
      <c r="Z491" s="19">
        <f t="shared" si="90"/>
        <v>0</v>
      </c>
      <c r="AA491" s="19"/>
      <c r="AB491" s="19"/>
      <c r="AC491" s="19"/>
      <c r="AD491" s="19"/>
    </row>
    <row r="492" spans="1:30" x14ac:dyDescent="0.2">
      <c r="A492" s="18"/>
      <c r="C492" s="3" t="s">
        <v>134</v>
      </c>
      <c r="D492" s="19">
        <f>3785000/1000</f>
        <v>3785</v>
      </c>
      <c r="E492" s="19"/>
      <c r="F492" s="19"/>
      <c r="G492" s="19"/>
      <c r="H492" s="19">
        <f>3785000/1000</f>
        <v>3785</v>
      </c>
      <c r="I492" s="19"/>
      <c r="J492" s="19"/>
      <c r="K492" s="19"/>
      <c r="L492" s="19"/>
      <c r="M492" s="19"/>
      <c r="N492" s="19"/>
      <c r="O492" s="19"/>
      <c r="P492" s="19"/>
      <c r="Q492" s="19"/>
      <c r="R492" s="19">
        <v>0</v>
      </c>
      <c r="S492" s="19"/>
      <c r="T492" s="19"/>
      <c r="U492" s="19"/>
      <c r="V492" s="19"/>
      <c r="W492" s="19"/>
      <c r="X492" s="19"/>
      <c r="Y492" s="19">
        <f t="shared" si="91"/>
        <v>3785</v>
      </c>
      <c r="Z492" s="19">
        <f t="shared" si="90"/>
        <v>0</v>
      </c>
      <c r="AA492" s="19"/>
      <c r="AB492" s="19"/>
      <c r="AC492" s="19"/>
      <c r="AD492" s="19"/>
    </row>
    <row r="493" spans="1:30" x14ac:dyDescent="0.2">
      <c r="A493" s="18"/>
      <c r="C493" s="3" t="s">
        <v>128</v>
      </c>
      <c r="D493" s="19">
        <f>433000000/1000</f>
        <v>433000</v>
      </c>
      <c r="E493" s="19"/>
      <c r="F493" s="19"/>
      <c r="G493" s="19"/>
      <c r="H493" s="19">
        <f>D493</f>
        <v>433000</v>
      </c>
      <c r="I493" s="19"/>
      <c r="J493" s="19"/>
      <c r="K493" s="19"/>
      <c r="L493" s="19"/>
      <c r="M493" s="19"/>
      <c r="N493" s="19"/>
      <c r="O493" s="19"/>
      <c r="P493" s="19"/>
      <c r="Q493" s="19"/>
      <c r="R493" s="19">
        <v>0</v>
      </c>
      <c r="S493" s="19"/>
      <c r="T493" s="19"/>
      <c r="U493" s="19"/>
      <c r="V493" s="19"/>
      <c r="W493" s="19"/>
      <c r="X493" s="19"/>
      <c r="Y493" s="19">
        <f t="shared" si="91"/>
        <v>433000</v>
      </c>
      <c r="Z493" s="19">
        <f t="shared" si="90"/>
        <v>0</v>
      </c>
      <c r="AA493" s="19"/>
      <c r="AB493" s="19"/>
      <c r="AC493" s="19"/>
      <c r="AD493" s="19"/>
    </row>
    <row r="494" spans="1:30" x14ac:dyDescent="0.2">
      <c r="A494" s="18"/>
      <c r="C494" s="3" t="s">
        <v>211</v>
      </c>
      <c r="D494" s="19">
        <f>2500000/1000</f>
        <v>2500</v>
      </c>
      <c r="E494" s="19"/>
      <c r="F494" s="19"/>
      <c r="G494" s="19"/>
      <c r="H494" s="19">
        <f>2500000/1000</f>
        <v>2500</v>
      </c>
      <c r="I494" s="19"/>
      <c r="J494" s="19"/>
      <c r="K494" s="19"/>
      <c r="L494" s="19"/>
      <c r="M494" s="19"/>
      <c r="N494" s="19"/>
      <c r="O494" s="19"/>
      <c r="P494" s="19"/>
      <c r="Q494" s="19"/>
      <c r="R494" s="19">
        <v>0</v>
      </c>
      <c r="S494" s="19"/>
      <c r="T494" s="19"/>
      <c r="U494" s="19"/>
      <c r="V494" s="19"/>
      <c r="W494" s="19"/>
      <c r="X494" s="19"/>
      <c r="Y494" s="19">
        <f t="shared" si="91"/>
        <v>2500</v>
      </c>
      <c r="Z494" s="19">
        <f t="shared" si="90"/>
        <v>0</v>
      </c>
      <c r="AA494" s="19"/>
      <c r="AB494" s="19"/>
      <c r="AC494" s="19"/>
      <c r="AD494" s="19"/>
    </row>
    <row r="495" spans="1:30" x14ac:dyDescent="0.2">
      <c r="A495" s="18"/>
      <c r="C495" s="3" t="s">
        <v>87</v>
      </c>
      <c r="D495" s="19">
        <f>721348.35/1000</f>
        <v>721.34834999999998</v>
      </c>
      <c r="E495" s="19">
        <f>[1]TOBEPAID!E368/1000</f>
        <v>0</v>
      </c>
      <c r="F495" s="19">
        <f>[1]TOBEPAID!F368/1000</f>
        <v>0</v>
      </c>
      <c r="G495" s="19">
        <f>[1]TOBEPAID!G368/1000</f>
        <v>0</v>
      </c>
      <c r="H495" s="19">
        <v>0</v>
      </c>
      <c r="I495" s="19">
        <f>[1]TOBEPAID!I368/1000</f>
        <v>0</v>
      </c>
      <c r="J495" s="19">
        <f>[1]TOBEPAID!J368/1000</f>
        <v>0</v>
      </c>
      <c r="K495" s="19">
        <f>[1]TOBEPAID!K368/1000</f>
        <v>0</v>
      </c>
      <c r="L495" s="19">
        <f>[1]TOBEPAID!L368/1000</f>
        <v>0</v>
      </c>
      <c r="M495" s="19">
        <f>[1]TOBEPAID!M368/1000</f>
        <v>0</v>
      </c>
      <c r="N495" s="19">
        <f>[1]TOBEPAID!N368/1000</f>
        <v>0</v>
      </c>
      <c r="O495" s="19">
        <f>[1]TOBEPAID!O368/1000</f>
        <v>83.470219999999998</v>
      </c>
      <c r="P495" s="19">
        <f>[1]TOBEPAID!P368/1000</f>
        <v>0</v>
      </c>
      <c r="Q495" s="19">
        <f>[1]TOBEPAID!Q368/1000</f>
        <v>0</v>
      </c>
      <c r="R495" s="19">
        <f>721143.62/1000</f>
        <v>721.14361999999994</v>
      </c>
      <c r="S495" s="19">
        <f>[1]TOBEPAID!S368/1000</f>
        <v>0</v>
      </c>
      <c r="T495" s="19">
        <f>[1]TOBEPAID!T368/1000</f>
        <v>0</v>
      </c>
      <c r="U495" s="19">
        <f>[1]TOBEPAID!U368/1000</f>
        <v>0</v>
      </c>
      <c r="V495" s="19">
        <f>[1]TOBEPAID!V368/1000</f>
        <v>0</v>
      </c>
      <c r="W495" s="19">
        <f>[1]TOBEPAID!W368/1000</f>
        <v>0</v>
      </c>
      <c r="X495" s="19">
        <f>[1]TOBEPAID!X368/1000</f>
        <v>83.470219999999998</v>
      </c>
      <c r="Y495" s="19">
        <f t="shared" si="91"/>
        <v>721.14361999999994</v>
      </c>
      <c r="Z495" s="19">
        <f t="shared" si="90"/>
        <v>0.20473000000004049</v>
      </c>
      <c r="AA495" s="19">
        <f>[1]TOBEPAID!AA368/1000</f>
        <v>83.470219999999998</v>
      </c>
      <c r="AB495" s="19">
        <f>[1]TOBEPAID!AB368/1000</f>
        <v>6454.8781300000001</v>
      </c>
      <c r="AC495" s="19"/>
      <c r="AD495" s="19"/>
    </row>
    <row r="496" spans="1:30" x14ac:dyDescent="0.2">
      <c r="A496" s="18"/>
      <c r="C496" s="3" t="s">
        <v>88</v>
      </c>
      <c r="D496" s="19">
        <f>163.86/1000</f>
        <v>0.16386000000000001</v>
      </c>
      <c r="E496" s="19">
        <f>[1]TOBEPAID!E369/1000</f>
        <v>0</v>
      </c>
      <c r="F496" s="19">
        <f>[1]TOBEPAID!F369/1000</f>
        <v>0</v>
      </c>
      <c r="G496" s="19">
        <f>[1]TOBEPAID!G369/1000</f>
        <v>0</v>
      </c>
      <c r="H496" s="19">
        <v>0</v>
      </c>
      <c r="I496" s="19">
        <f>[1]TOBEPAID!I369/1000</f>
        <v>0</v>
      </c>
      <c r="J496" s="19">
        <f>[1]TOBEPAID!J369/1000</f>
        <v>0</v>
      </c>
      <c r="K496" s="19">
        <f>[1]TOBEPAID!K369/1000</f>
        <v>0</v>
      </c>
      <c r="L496" s="19">
        <f>[1]TOBEPAID!L369/1000</f>
        <v>0</v>
      </c>
      <c r="M496" s="19">
        <f>[1]TOBEPAID!M369/1000</f>
        <v>0</v>
      </c>
      <c r="N496" s="19">
        <f>[1]TOBEPAID!N369/1000</f>
        <v>0</v>
      </c>
      <c r="O496" s="19">
        <f>[1]TOBEPAID!O369/1000</f>
        <v>0</v>
      </c>
      <c r="P496" s="19">
        <f>[1]TOBEPAID!P369/1000</f>
        <v>0</v>
      </c>
      <c r="Q496" s="19">
        <f>[1]TOBEPAID!Q369/1000</f>
        <v>0</v>
      </c>
      <c r="R496" s="19">
        <v>0</v>
      </c>
      <c r="S496" s="19">
        <f>[1]TOBEPAID!S369/1000</f>
        <v>0</v>
      </c>
      <c r="T496" s="19">
        <f>[1]TOBEPAID!T369/1000</f>
        <v>0</v>
      </c>
      <c r="U496" s="19">
        <f>[1]TOBEPAID!U369/1000</f>
        <v>0</v>
      </c>
      <c r="V496" s="19">
        <f>[1]TOBEPAID!V369/1000</f>
        <v>0</v>
      </c>
      <c r="W496" s="19">
        <f>[1]TOBEPAID!W369/1000</f>
        <v>0</v>
      </c>
      <c r="X496" s="19">
        <f>[1]TOBEPAID!X369/1000</f>
        <v>0</v>
      </c>
      <c r="Y496" s="19">
        <f t="shared" si="91"/>
        <v>0</v>
      </c>
      <c r="Z496" s="19">
        <f t="shared" si="90"/>
        <v>0.16386000000000001</v>
      </c>
      <c r="AA496" s="19">
        <f>[1]TOBEPAID!AA369/1000</f>
        <v>0</v>
      </c>
      <c r="AB496" s="19">
        <f>[1]TOBEPAID!AB369/1000</f>
        <v>374.16386</v>
      </c>
      <c r="AC496" s="19"/>
      <c r="AD496" s="19"/>
    </row>
    <row r="497" spans="1:30" x14ac:dyDescent="0.2">
      <c r="A497" s="18"/>
      <c r="C497" s="3" t="s">
        <v>70</v>
      </c>
      <c r="D497" s="19">
        <f>22029000/1000</f>
        <v>22029</v>
      </c>
      <c r="E497" s="19">
        <f>[1]TOBEPAID!E370/1000</f>
        <v>22029</v>
      </c>
      <c r="F497" s="19">
        <f>[1]TOBEPAID!F370/1000</f>
        <v>0</v>
      </c>
      <c r="G497" s="19">
        <f>[1]TOBEPAID!G370/1000</f>
        <v>0</v>
      </c>
      <c r="H497" s="19">
        <f>22029000/1000</f>
        <v>22029</v>
      </c>
      <c r="I497" s="19">
        <f>[1]TOBEPAID!I370/1000</f>
        <v>0</v>
      </c>
      <c r="J497" s="19">
        <f>[1]TOBEPAID!J370/1000</f>
        <v>0</v>
      </c>
      <c r="K497" s="19">
        <f>[1]TOBEPAID!K370/1000</f>
        <v>0</v>
      </c>
      <c r="L497" s="19">
        <f>[1]TOBEPAID!L370/1000</f>
        <v>0</v>
      </c>
      <c r="M497" s="19">
        <f>[1]TOBEPAID!M370/1000</f>
        <v>0</v>
      </c>
      <c r="N497" s="19">
        <f>[1]TOBEPAID!N370/1000</f>
        <v>22029</v>
      </c>
      <c r="O497" s="19">
        <f>[1]TOBEPAID!O370/1000</f>
        <v>0</v>
      </c>
      <c r="P497" s="19">
        <f>[1]TOBEPAID!P370/1000</f>
        <v>0</v>
      </c>
      <c r="Q497" s="19">
        <f>[1]TOBEPAID!Q370/1000</f>
        <v>0</v>
      </c>
      <c r="R497" s="19">
        <v>0</v>
      </c>
      <c r="S497" s="19">
        <f>[1]TOBEPAID!S370/1000</f>
        <v>0</v>
      </c>
      <c r="T497" s="19">
        <f>[1]TOBEPAID!T370/1000</f>
        <v>0</v>
      </c>
      <c r="U497" s="19">
        <f>[1]TOBEPAID!U370/1000</f>
        <v>0</v>
      </c>
      <c r="V497" s="19">
        <f>[1]TOBEPAID!V370/1000</f>
        <v>0</v>
      </c>
      <c r="W497" s="19">
        <f>[1]TOBEPAID!W370/1000</f>
        <v>0</v>
      </c>
      <c r="X497" s="19">
        <f>[1]TOBEPAID!X370/1000</f>
        <v>0</v>
      </c>
      <c r="Y497" s="19">
        <f>[1]TOBEPAID!Y370/1000</f>
        <v>22029</v>
      </c>
      <c r="Z497" s="19">
        <f>[1]TOBEPAID!Z370/1000</f>
        <v>0</v>
      </c>
      <c r="AA497" s="19">
        <f>[1]TOBEPAID!AA370/1000</f>
        <v>22029</v>
      </c>
      <c r="AB497" s="19">
        <f>[1]TOBEPAID!AB370/1000</f>
        <v>0</v>
      </c>
      <c r="AC497" s="19"/>
      <c r="AD497" s="19"/>
    </row>
    <row r="498" spans="1:30" x14ac:dyDescent="0.2">
      <c r="A498" s="18"/>
      <c r="D498" s="21" t="s">
        <v>57</v>
      </c>
      <c r="E498" s="21" t="s">
        <v>57</v>
      </c>
      <c r="F498" s="21" t="s">
        <v>57</v>
      </c>
      <c r="G498" s="21"/>
      <c r="H498" s="21" t="s">
        <v>57</v>
      </c>
      <c r="I498" s="21" t="s">
        <v>57</v>
      </c>
      <c r="J498" s="21" t="s">
        <v>57</v>
      </c>
      <c r="K498" s="21" t="s">
        <v>57</v>
      </c>
      <c r="L498" s="21" t="s">
        <v>57</v>
      </c>
      <c r="M498" s="21"/>
      <c r="N498" s="21" t="s">
        <v>57</v>
      </c>
      <c r="O498" s="21" t="s">
        <v>57</v>
      </c>
      <c r="P498" s="21" t="s">
        <v>57</v>
      </c>
      <c r="Q498" s="21"/>
      <c r="R498" s="21" t="s">
        <v>57</v>
      </c>
      <c r="S498" s="21" t="s">
        <v>57</v>
      </c>
      <c r="T498" s="21" t="s">
        <v>57</v>
      </c>
      <c r="U498" s="21" t="s">
        <v>57</v>
      </c>
      <c r="V498" s="21" t="s">
        <v>57</v>
      </c>
      <c r="W498" s="21"/>
      <c r="X498" s="21" t="s">
        <v>57</v>
      </c>
      <c r="Y498" s="21" t="s">
        <v>57</v>
      </c>
      <c r="Z498" s="21" t="s">
        <v>57</v>
      </c>
      <c r="AA498" s="21" t="s">
        <v>57</v>
      </c>
      <c r="AB498" s="21" t="s">
        <v>57</v>
      </c>
      <c r="AC498" s="21"/>
      <c r="AD498" s="21"/>
    </row>
    <row r="499" spans="1:30" x14ac:dyDescent="0.2">
      <c r="A499" s="18"/>
      <c r="D499" s="35">
        <f>SUM(D487:D497)</f>
        <v>975963.57020999992</v>
      </c>
      <c r="E499" s="35">
        <f>SUM(E487:E497)</f>
        <v>24047.058000000001</v>
      </c>
      <c r="F499" s="35">
        <f>SUM(F487:F497)</f>
        <v>0</v>
      </c>
      <c r="G499" s="35"/>
      <c r="H499" s="35">
        <f>SUM(H487:H497)</f>
        <v>925067.64543000003</v>
      </c>
      <c r="I499" s="35">
        <f>SUM(I487:I497)</f>
        <v>0</v>
      </c>
      <c r="J499" s="35">
        <f>SUM(J487:J497)</f>
        <v>0</v>
      </c>
      <c r="K499" s="35">
        <f>SUM(K487:K497)</f>
        <v>0</v>
      </c>
      <c r="L499" s="35">
        <f>SUM(L487:L497)</f>
        <v>0</v>
      </c>
      <c r="M499" s="35"/>
      <c r="N499" s="35">
        <f>SUM(N487:N497)</f>
        <v>24047.058000000001</v>
      </c>
      <c r="O499" s="35">
        <f>SUM(O487:O497)</f>
        <v>83.470219999999998</v>
      </c>
      <c r="P499" s="35">
        <f>SUM(P487:P497)</f>
        <v>0</v>
      </c>
      <c r="Q499" s="35"/>
      <c r="R499" s="35">
        <f>SUM(R487:R497)</f>
        <v>1301.4386199999999</v>
      </c>
      <c r="S499" s="35">
        <f>SUM(S487:S497)</f>
        <v>0</v>
      </c>
      <c r="T499" s="35">
        <f>SUM(T487:T497)</f>
        <v>0</v>
      </c>
      <c r="U499" s="35">
        <f>SUM(U487:U497)</f>
        <v>0</v>
      </c>
      <c r="V499" s="35">
        <f>SUM(V487:V497)</f>
        <v>0</v>
      </c>
      <c r="W499" s="35"/>
      <c r="X499" s="35">
        <f>SUM(X487:X497)</f>
        <v>83.470219999999998</v>
      </c>
      <c r="Y499" s="35">
        <f>SUM(Y487:Y497)</f>
        <v>926369.08404999995</v>
      </c>
      <c r="Z499" s="35">
        <f>SUM(Z487:Z497)</f>
        <v>49594.486159999971</v>
      </c>
      <c r="AA499" s="35">
        <f>SUM(AA487:AA497)</f>
        <v>24130.52822</v>
      </c>
      <c r="AB499" s="35">
        <f>SUM(AB487:AB497)</f>
        <v>6829.0419899999997</v>
      </c>
      <c r="AC499" s="35"/>
      <c r="AD499" s="35"/>
    </row>
    <row r="500" spans="1:30" x14ac:dyDescent="0.2">
      <c r="A500" s="18"/>
      <c r="D500" s="21" t="s">
        <v>57</v>
      </c>
      <c r="E500" s="21" t="s">
        <v>57</v>
      </c>
      <c r="F500" s="21" t="s">
        <v>57</v>
      </c>
      <c r="G500" s="21"/>
      <c r="H500" s="21" t="s">
        <v>57</v>
      </c>
      <c r="I500" s="21" t="s">
        <v>57</v>
      </c>
      <c r="J500" s="21" t="s">
        <v>57</v>
      </c>
      <c r="K500" s="21" t="s">
        <v>57</v>
      </c>
      <c r="L500" s="21" t="s">
        <v>57</v>
      </c>
      <c r="M500" s="21"/>
      <c r="N500" s="21" t="s">
        <v>57</v>
      </c>
      <c r="O500" s="21" t="s">
        <v>57</v>
      </c>
      <c r="P500" s="21" t="s">
        <v>57</v>
      </c>
      <c r="Q500" s="21"/>
      <c r="R500" s="21" t="s">
        <v>57</v>
      </c>
      <c r="S500" s="21" t="s">
        <v>57</v>
      </c>
      <c r="T500" s="21" t="s">
        <v>57</v>
      </c>
      <c r="U500" s="21" t="s">
        <v>57</v>
      </c>
      <c r="V500" s="21" t="s">
        <v>57</v>
      </c>
      <c r="W500" s="21"/>
      <c r="X500" s="21" t="s">
        <v>57</v>
      </c>
      <c r="Y500" s="21" t="s">
        <v>57</v>
      </c>
      <c r="Z500" s="21" t="s">
        <v>57</v>
      </c>
      <c r="AA500" s="21" t="s">
        <v>57</v>
      </c>
      <c r="AB500" s="21" t="s">
        <v>57</v>
      </c>
      <c r="AC500" s="21"/>
      <c r="AD500" s="21"/>
    </row>
    <row r="501" spans="1:30" x14ac:dyDescent="0.2">
      <c r="A501" s="18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1:30" x14ac:dyDescent="0.2">
      <c r="A502" s="18">
        <v>35</v>
      </c>
      <c r="B502" s="3" t="s">
        <v>212</v>
      </c>
      <c r="C502" s="17" t="s">
        <v>51</v>
      </c>
      <c r="D502" s="19">
        <f>29998600/1000</f>
        <v>29998.6</v>
      </c>
      <c r="E502" s="19">
        <f>[1]TOBEPAID!E375/1000</f>
        <v>0</v>
      </c>
      <c r="F502" s="19">
        <f>[1]TOBEPAID!F375/1000</f>
        <v>0</v>
      </c>
      <c r="G502" s="19">
        <f>[1]TOBEPAID!G375/1000</f>
        <v>0</v>
      </c>
      <c r="H502" s="19">
        <f>29998300/1000</f>
        <v>29998.3</v>
      </c>
      <c r="I502" s="19">
        <f>[1]TOBEPAID!I375/1000</f>
        <v>0</v>
      </c>
      <c r="J502" s="19">
        <f>[1]TOBEPAID!J375/1000</f>
        <v>0</v>
      </c>
      <c r="K502" s="19">
        <f>[1]TOBEPAID!K375/1000</f>
        <v>0</v>
      </c>
      <c r="L502" s="19">
        <f>[1]TOBEPAID!L375/1000</f>
        <v>0</v>
      </c>
      <c r="M502" s="19">
        <f>[1]TOBEPAID!M375/1000</f>
        <v>0</v>
      </c>
      <c r="N502" s="19">
        <f>[1]TOBEPAID!N375/1000</f>
        <v>0</v>
      </c>
      <c r="O502" s="19">
        <f>[1]TOBEPAID!O375/1000</f>
        <v>0</v>
      </c>
      <c r="P502" s="19">
        <f>[1]TOBEPAID!P375/1000</f>
        <v>0</v>
      </c>
      <c r="Q502" s="19">
        <f>[1]TOBEPAID!Q375/1000</f>
        <v>0</v>
      </c>
      <c r="R502" s="19">
        <v>0</v>
      </c>
      <c r="S502" s="19">
        <f>[1]TOBEPAID!S375/1000</f>
        <v>0</v>
      </c>
      <c r="T502" s="19">
        <f>[1]TOBEPAID!T375/1000</f>
        <v>0</v>
      </c>
      <c r="U502" s="19">
        <f>[1]TOBEPAID!U375/1000</f>
        <v>0</v>
      </c>
      <c r="V502" s="19">
        <f>[1]TOBEPAID!V375/1000</f>
        <v>0</v>
      </c>
      <c r="W502" s="19">
        <f>[1]TOBEPAID!W375/1000</f>
        <v>0</v>
      </c>
      <c r="X502" s="19">
        <f>[1]TOBEPAID!X375/1000</f>
        <v>0</v>
      </c>
      <c r="Y502" s="19">
        <f>+H502+R502</f>
        <v>29998.3</v>
      </c>
      <c r="Z502" s="19">
        <f t="shared" ref="Z502:Z511" si="92">+D502-Y502</f>
        <v>0.2999999999992724</v>
      </c>
      <c r="AA502" s="19">
        <f>[1]TOBEPAID!AA375/1000</f>
        <v>0</v>
      </c>
      <c r="AB502" s="19">
        <f>[1]TOBEPAID!AB375/1000</f>
        <v>34625.096560000005</v>
      </c>
      <c r="AC502" s="19"/>
      <c r="AD502" s="19"/>
    </row>
    <row r="503" spans="1:30" x14ac:dyDescent="0.2">
      <c r="A503" s="18"/>
      <c r="C503" s="3" t="s">
        <v>52</v>
      </c>
      <c r="D503" s="19">
        <f>2193860/1000</f>
        <v>2193.86</v>
      </c>
      <c r="E503" s="19">
        <f>[1]TOBEPAID!E376/1000</f>
        <v>2193.86</v>
      </c>
      <c r="F503" s="19">
        <f>[1]TOBEPAID!F376/1000</f>
        <v>0</v>
      </c>
      <c r="G503" s="19">
        <f>[1]TOBEPAID!G376/1000</f>
        <v>0</v>
      </c>
      <c r="H503" s="19">
        <f>2193860/1000</f>
        <v>2193.86</v>
      </c>
      <c r="I503" s="19">
        <f>[1]TOBEPAID!I376/1000</f>
        <v>0</v>
      </c>
      <c r="J503" s="19">
        <f>[1]TOBEPAID!J376/1000</f>
        <v>0</v>
      </c>
      <c r="K503" s="19">
        <f>[1]TOBEPAID!K376/1000</f>
        <v>0</v>
      </c>
      <c r="L503" s="19">
        <f>[1]TOBEPAID!L376/1000</f>
        <v>0</v>
      </c>
      <c r="M503" s="19">
        <f>[1]TOBEPAID!M376/1000</f>
        <v>0</v>
      </c>
      <c r="N503" s="19">
        <f>[1]TOBEPAID!N376/1000</f>
        <v>2193.86</v>
      </c>
      <c r="O503" s="19">
        <f>[1]TOBEPAID!O376/1000</f>
        <v>0</v>
      </c>
      <c r="P503" s="19">
        <f>[1]TOBEPAID!P376/1000</f>
        <v>0</v>
      </c>
      <c r="Q503" s="19">
        <f>[1]TOBEPAID!Q376/1000</f>
        <v>0</v>
      </c>
      <c r="R503" s="19">
        <v>0</v>
      </c>
      <c r="S503" s="19">
        <f>[1]TOBEPAID!S376/1000</f>
        <v>0</v>
      </c>
      <c r="T503" s="19">
        <f>[1]TOBEPAID!T376/1000</f>
        <v>0</v>
      </c>
      <c r="U503" s="19">
        <f>[1]TOBEPAID!U376/1000</f>
        <v>0</v>
      </c>
      <c r="V503" s="19">
        <f>[1]TOBEPAID!V376/1000</f>
        <v>0</v>
      </c>
      <c r="W503" s="19">
        <f>[1]TOBEPAID!W376/1000</f>
        <v>0</v>
      </c>
      <c r="X503" s="19">
        <f>[1]TOBEPAID!X376/1000</f>
        <v>0</v>
      </c>
      <c r="Y503" s="19">
        <f t="shared" ref="Y503:Y511" si="93">+H503+R503</f>
        <v>2193.86</v>
      </c>
      <c r="Z503" s="19">
        <f t="shared" si="92"/>
        <v>0</v>
      </c>
      <c r="AA503" s="19">
        <f>[1]TOBEPAID!AA376/1000</f>
        <v>2193.86</v>
      </c>
      <c r="AB503" s="19">
        <f>[1]TOBEPAID!AB376/1000</f>
        <v>0</v>
      </c>
      <c r="AC503" s="19"/>
      <c r="AD503" s="19"/>
    </row>
    <row r="504" spans="1:30" x14ac:dyDescent="0.2">
      <c r="C504" s="3" t="s">
        <v>75</v>
      </c>
      <c r="D504" s="3">
        <f>6967731.9/1000</f>
        <v>6967.7319000000007</v>
      </c>
      <c r="H504" s="3">
        <f>6967731.9/1000</f>
        <v>6967.7319000000007</v>
      </c>
      <c r="R504" s="19">
        <v>0</v>
      </c>
      <c r="Y504" s="19">
        <f t="shared" si="93"/>
        <v>6967.7319000000007</v>
      </c>
      <c r="Z504" s="19">
        <f t="shared" si="92"/>
        <v>0</v>
      </c>
    </row>
    <row r="505" spans="1:30" x14ac:dyDescent="0.2">
      <c r="C505" s="3" t="s">
        <v>63</v>
      </c>
      <c r="D505" s="3">
        <f>3733681/1000</f>
        <v>3733.681</v>
      </c>
      <c r="H505" s="3">
        <f>3733681/1000</f>
        <v>3733.681</v>
      </c>
      <c r="R505" s="19">
        <v>0</v>
      </c>
      <c r="Y505" s="19">
        <f>+H505+R505</f>
        <v>3733.681</v>
      </c>
      <c r="Z505" s="19">
        <f t="shared" si="92"/>
        <v>0</v>
      </c>
    </row>
    <row r="506" spans="1:30" x14ac:dyDescent="0.2">
      <c r="C506" s="3" t="s">
        <v>67</v>
      </c>
      <c r="D506" s="3">
        <f>126000000/1000</f>
        <v>126000</v>
      </c>
      <c r="H506" s="3">
        <f>126000000/1000</f>
        <v>126000</v>
      </c>
      <c r="R506" s="19">
        <v>0</v>
      </c>
      <c r="Y506" s="19">
        <f>+H506+R506</f>
        <v>126000</v>
      </c>
      <c r="Z506" s="19">
        <f t="shared" si="92"/>
        <v>0</v>
      </c>
    </row>
    <row r="507" spans="1:30" x14ac:dyDescent="0.2">
      <c r="C507" s="3" t="s">
        <v>65</v>
      </c>
      <c r="D507" s="3">
        <f>22300000/1000</f>
        <v>22300</v>
      </c>
      <c r="H507" s="3">
        <f>22300000/1000</f>
        <v>22300</v>
      </c>
      <c r="R507" s="19">
        <v>0</v>
      </c>
      <c r="Y507" s="19">
        <f>+H507+R507</f>
        <v>22300</v>
      </c>
      <c r="Z507" s="19">
        <f t="shared" si="92"/>
        <v>0</v>
      </c>
    </row>
    <row r="508" spans="1:30" x14ac:dyDescent="0.2">
      <c r="C508" s="3" t="s">
        <v>79</v>
      </c>
      <c r="D508" s="3">
        <f>2560169.17/1000</f>
        <v>2560.1691700000001</v>
      </c>
      <c r="H508" s="3">
        <f>2560169.17/1000</f>
        <v>2560.1691700000001</v>
      </c>
      <c r="R508" s="19">
        <v>0</v>
      </c>
      <c r="Y508" s="19">
        <f t="shared" si="93"/>
        <v>2560.1691700000001</v>
      </c>
      <c r="Z508" s="19">
        <f t="shared" si="92"/>
        <v>0</v>
      </c>
    </row>
    <row r="509" spans="1:30" x14ac:dyDescent="0.2">
      <c r="A509" s="18"/>
      <c r="C509" s="3" t="s">
        <v>87</v>
      </c>
      <c r="D509" s="19">
        <v>0</v>
      </c>
      <c r="E509" s="19">
        <f>[1]TOBEPAID!E377/1000</f>
        <v>0</v>
      </c>
      <c r="F509" s="19">
        <f>[1]TOBEPAID!F377/1000</f>
        <v>0</v>
      </c>
      <c r="G509" s="19">
        <f>[1]TOBEPAID!G377/1000</f>
        <v>0</v>
      </c>
      <c r="H509" s="19">
        <v>0</v>
      </c>
      <c r="I509" s="19">
        <f>[1]TOBEPAID!I377/1000</f>
        <v>0</v>
      </c>
      <c r="J509" s="19">
        <f>[1]TOBEPAID!J377/1000</f>
        <v>0</v>
      </c>
      <c r="K509" s="19">
        <f>[1]TOBEPAID!K377/1000</f>
        <v>0</v>
      </c>
      <c r="L509" s="19">
        <f>[1]TOBEPAID!L377/1000</f>
        <v>0</v>
      </c>
      <c r="M509" s="19">
        <f>[1]TOBEPAID!M377/1000</f>
        <v>0</v>
      </c>
      <c r="N509" s="19">
        <f>[1]TOBEPAID!N377/1000</f>
        <v>0</v>
      </c>
      <c r="O509" s="19">
        <f>[1]TOBEPAID!O377/1000</f>
        <v>0</v>
      </c>
      <c r="P509" s="19">
        <f>[1]TOBEPAID!P377/1000</f>
        <v>0</v>
      </c>
      <c r="Q509" s="19">
        <f>[1]TOBEPAID!Q377/1000</f>
        <v>0</v>
      </c>
      <c r="R509" s="19">
        <v>0</v>
      </c>
      <c r="S509" s="19">
        <f>[1]TOBEPAID!S377/1000</f>
        <v>0</v>
      </c>
      <c r="T509" s="19">
        <f>[1]TOBEPAID!T377/1000</f>
        <v>0</v>
      </c>
      <c r="U509" s="19">
        <f>[1]TOBEPAID!U377/1000</f>
        <v>0</v>
      </c>
      <c r="V509" s="19">
        <f>[1]TOBEPAID!V377/1000</f>
        <v>0</v>
      </c>
      <c r="W509" s="19">
        <f>[1]TOBEPAID!W377/1000</f>
        <v>0</v>
      </c>
      <c r="X509" s="19">
        <f>[1]TOBEPAID!X377/1000</f>
        <v>0</v>
      </c>
      <c r="Y509" s="19">
        <f t="shared" si="93"/>
        <v>0</v>
      </c>
      <c r="Z509" s="19">
        <f t="shared" si="92"/>
        <v>0</v>
      </c>
      <c r="AA509" s="19">
        <f>[1]TOBEPAID!AA377/1000</f>
        <v>0</v>
      </c>
      <c r="AB509" s="19">
        <f>[1]TOBEPAID!AB377/1000</f>
        <v>2332.2910000000002</v>
      </c>
      <c r="AC509" s="19"/>
      <c r="AD509" s="19"/>
    </row>
    <row r="510" spans="1:30" x14ac:dyDescent="0.2">
      <c r="A510" s="18"/>
      <c r="C510" s="3" t="s">
        <v>96</v>
      </c>
      <c r="D510" s="19">
        <f>816608/1000</f>
        <v>816.60799999999995</v>
      </c>
      <c r="E510" s="19">
        <f>[1]TOBEPAID!E378/1000</f>
        <v>0</v>
      </c>
      <c r="F510" s="19">
        <f>[1]TOBEPAID!F378/1000</f>
        <v>0</v>
      </c>
      <c r="G510" s="19">
        <f>[1]TOBEPAID!G378/1000</f>
        <v>0</v>
      </c>
      <c r="H510" s="19">
        <v>0</v>
      </c>
      <c r="I510" s="19">
        <f>[1]TOBEPAID!I378/1000</f>
        <v>0</v>
      </c>
      <c r="J510" s="19">
        <f>[1]TOBEPAID!J378/1000</f>
        <v>0</v>
      </c>
      <c r="K510" s="19">
        <f>[1]TOBEPAID!K378/1000</f>
        <v>0</v>
      </c>
      <c r="L510" s="19">
        <f>[1]TOBEPAID!L378/1000</f>
        <v>0</v>
      </c>
      <c r="M510" s="19">
        <f>[1]TOBEPAID!M378/1000</f>
        <v>0</v>
      </c>
      <c r="N510" s="19">
        <f>[1]TOBEPAID!N378/1000</f>
        <v>0</v>
      </c>
      <c r="O510" s="19">
        <f>[1]TOBEPAID!O378/1000</f>
        <v>0</v>
      </c>
      <c r="P510" s="19">
        <f>[1]TOBEPAID!P378/1000</f>
        <v>0</v>
      </c>
      <c r="Q510" s="19">
        <f>[1]TOBEPAID!Q378/1000</f>
        <v>0</v>
      </c>
      <c r="R510" s="19">
        <v>0</v>
      </c>
      <c r="S510" s="19">
        <f>[1]TOBEPAID!S378/1000</f>
        <v>0</v>
      </c>
      <c r="T510" s="19">
        <f>[1]TOBEPAID!T378/1000</f>
        <v>0</v>
      </c>
      <c r="U510" s="19">
        <f>[1]TOBEPAID!U378/1000</f>
        <v>0</v>
      </c>
      <c r="V510" s="19">
        <f>[1]TOBEPAID!V378/1000</f>
        <v>0</v>
      </c>
      <c r="W510" s="19">
        <f>[1]TOBEPAID!W378/1000</f>
        <v>0</v>
      </c>
      <c r="X510" s="19">
        <f>[1]TOBEPAID!X378/1000</f>
        <v>0</v>
      </c>
      <c r="Y510" s="19">
        <f t="shared" si="93"/>
        <v>0</v>
      </c>
      <c r="Z510" s="19">
        <f t="shared" si="92"/>
        <v>816.60799999999995</v>
      </c>
      <c r="AA510" s="19">
        <f>[1]TOBEPAID!AA378/1000</f>
        <v>0</v>
      </c>
      <c r="AB510" s="19">
        <f>[1]TOBEPAID!AB378/1000</f>
        <v>825.55269999999996</v>
      </c>
      <c r="AC510" s="19"/>
      <c r="AD510" s="19"/>
    </row>
    <row r="511" spans="1:30" x14ac:dyDescent="0.2">
      <c r="A511" s="18"/>
      <c r="C511" s="3" t="s">
        <v>97</v>
      </c>
      <c r="D511" s="19">
        <f>16304159/1000</f>
        <v>16304.159</v>
      </c>
      <c r="E511" s="19">
        <f>[1]TOBEPAID!E379/1000</f>
        <v>0</v>
      </c>
      <c r="F511" s="19">
        <f>[1]TOBEPAID!F379/1000</f>
        <v>0</v>
      </c>
      <c r="G511" s="19">
        <f>[1]TOBEPAID!G379/1000</f>
        <v>0</v>
      </c>
      <c r="H511" s="19">
        <f>3000000/1000</f>
        <v>3000</v>
      </c>
      <c r="I511" s="19">
        <f>[1]TOBEPAID!I379/1000</f>
        <v>0</v>
      </c>
      <c r="J511" s="19">
        <f>[1]TOBEPAID!J379/1000</f>
        <v>0</v>
      </c>
      <c r="K511" s="19">
        <f>[1]TOBEPAID!K379/1000</f>
        <v>0</v>
      </c>
      <c r="L511" s="19">
        <f>[1]TOBEPAID!L379/1000</f>
        <v>0</v>
      </c>
      <c r="M511" s="19">
        <f>[1]TOBEPAID!M379/1000</f>
        <v>0</v>
      </c>
      <c r="N511" s="19">
        <f>[1]TOBEPAID!N379/1000</f>
        <v>0</v>
      </c>
      <c r="O511" s="19">
        <f>[1]TOBEPAID!O379/1000</f>
        <v>10700.26303</v>
      </c>
      <c r="P511" s="19">
        <f>[1]TOBEPAID!P379/1000</f>
        <v>0</v>
      </c>
      <c r="Q511" s="19">
        <f>[1]TOBEPAID!Q379/1000</f>
        <v>0</v>
      </c>
      <c r="R511" s="19">
        <f>10700263/1000</f>
        <v>10700.263000000001</v>
      </c>
      <c r="S511" s="19">
        <f>[1]TOBEPAID!S379/1000</f>
        <v>0</v>
      </c>
      <c r="T511" s="19">
        <f>[1]TOBEPAID!T379/1000</f>
        <v>0</v>
      </c>
      <c r="U511" s="19">
        <f>[1]TOBEPAID!U379/1000</f>
        <v>0</v>
      </c>
      <c r="V511" s="19">
        <f>[1]TOBEPAID!V379/1000</f>
        <v>0</v>
      </c>
      <c r="W511" s="19">
        <f>[1]TOBEPAID!W379/1000</f>
        <v>0</v>
      </c>
      <c r="X511" s="19">
        <f>[1]TOBEPAID!X379/1000</f>
        <v>10700.26303</v>
      </c>
      <c r="Y511" s="19">
        <f t="shared" si="93"/>
        <v>13700.263000000001</v>
      </c>
      <c r="Z511" s="19">
        <f t="shared" si="92"/>
        <v>2603.8959999999988</v>
      </c>
      <c r="AA511" s="19">
        <f>[1]TOBEPAID!AA379/1000</f>
        <v>10700.26303</v>
      </c>
      <c r="AB511" s="19">
        <f>[1]TOBEPAID!AB379/1000</f>
        <v>5603.8962599999995</v>
      </c>
      <c r="AC511" s="19"/>
      <c r="AD511" s="19"/>
    </row>
    <row r="512" spans="1:30" x14ac:dyDescent="0.2">
      <c r="A512" s="18"/>
      <c r="D512" s="21" t="s">
        <v>57</v>
      </c>
      <c r="E512" s="21" t="s">
        <v>57</v>
      </c>
      <c r="F512" s="21" t="s">
        <v>57</v>
      </c>
      <c r="G512" s="21"/>
      <c r="H512" s="21" t="s">
        <v>57</v>
      </c>
      <c r="I512" s="21" t="s">
        <v>57</v>
      </c>
      <c r="J512" s="21" t="s">
        <v>57</v>
      </c>
      <c r="K512" s="21" t="s">
        <v>57</v>
      </c>
      <c r="L512" s="21" t="s">
        <v>57</v>
      </c>
      <c r="M512" s="21"/>
      <c r="N512" s="21" t="s">
        <v>57</v>
      </c>
      <c r="O512" s="21" t="s">
        <v>57</v>
      </c>
      <c r="P512" s="21" t="s">
        <v>57</v>
      </c>
      <c r="Q512" s="21"/>
      <c r="R512" s="21" t="s">
        <v>57</v>
      </c>
      <c r="S512" s="21" t="s">
        <v>57</v>
      </c>
      <c r="T512" s="21" t="s">
        <v>57</v>
      </c>
      <c r="U512" s="21" t="s">
        <v>57</v>
      </c>
      <c r="V512" s="21" t="s">
        <v>57</v>
      </c>
      <c r="W512" s="21"/>
      <c r="X512" s="21" t="s">
        <v>57</v>
      </c>
      <c r="Y512" s="21" t="s">
        <v>57</v>
      </c>
      <c r="Z512" s="21" t="s">
        <v>57</v>
      </c>
      <c r="AA512" s="21" t="s">
        <v>57</v>
      </c>
      <c r="AB512" s="21" t="s">
        <v>57</v>
      </c>
      <c r="AC512" s="21"/>
      <c r="AD512" s="21"/>
    </row>
    <row r="513" spans="1:30" x14ac:dyDescent="0.2">
      <c r="A513" s="18"/>
      <c r="D513" s="35">
        <f>SUM(D502:D511)</f>
        <v>210874.80907000002</v>
      </c>
      <c r="E513" s="35">
        <f>SUM(E502:E511)</f>
        <v>2193.86</v>
      </c>
      <c r="F513" s="35">
        <f>SUM(F502:F511)</f>
        <v>0</v>
      </c>
      <c r="G513" s="35"/>
      <c r="H513" s="35">
        <f>SUM(H502:H511)</f>
        <v>196753.74207000001</v>
      </c>
      <c r="I513" s="35">
        <f>SUM(I502:I511)</f>
        <v>0</v>
      </c>
      <c r="J513" s="35">
        <f>SUM(J502:J511)</f>
        <v>0</v>
      </c>
      <c r="K513" s="35">
        <f>SUM(K502:K511)</f>
        <v>0</v>
      </c>
      <c r="L513" s="35">
        <f>SUM(L502:L511)</f>
        <v>0</v>
      </c>
      <c r="M513" s="35"/>
      <c r="N513" s="35">
        <f>SUM(N502:N511)</f>
        <v>2193.86</v>
      </c>
      <c r="O513" s="35">
        <f>SUM(O502:O511)</f>
        <v>10700.26303</v>
      </c>
      <c r="P513" s="35">
        <f>SUM(P502:P511)</f>
        <v>0</v>
      </c>
      <c r="Q513" s="35"/>
      <c r="R513" s="35">
        <f>SUM(R502:R511)</f>
        <v>10700.263000000001</v>
      </c>
      <c r="S513" s="35">
        <f>SUM(S502:S511)</f>
        <v>0</v>
      </c>
      <c r="T513" s="35">
        <f>SUM(T502:T511)</f>
        <v>0</v>
      </c>
      <c r="U513" s="35">
        <f>SUM(U502:U511)</f>
        <v>0</v>
      </c>
      <c r="V513" s="35">
        <f>SUM(V502:V511)</f>
        <v>0</v>
      </c>
      <c r="W513" s="35"/>
      <c r="X513" s="35">
        <f>SUM(X502:X511)</f>
        <v>10700.26303</v>
      </c>
      <c r="Y513" s="35">
        <f>SUM(Y502:Y511)</f>
        <v>207454.00507000001</v>
      </c>
      <c r="Z513" s="35">
        <f>SUM(Z502:Z511)</f>
        <v>3420.8039999999983</v>
      </c>
      <c r="AA513" s="35">
        <f>SUM(AA502:AA511)</f>
        <v>12894.123030000001</v>
      </c>
      <c r="AB513" s="35">
        <f>SUM(AB502:AB511)</f>
        <v>43386.836520000004</v>
      </c>
      <c r="AC513" s="35"/>
      <c r="AD513" s="35"/>
    </row>
    <row r="514" spans="1:30" x14ac:dyDescent="0.2">
      <c r="A514" s="18"/>
      <c r="D514" s="21" t="s">
        <v>57</v>
      </c>
      <c r="E514" s="21" t="s">
        <v>57</v>
      </c>
      <c r="F514" s="21" t="s">
        <v>57</v>
      </c>
      <c r="G514" s="21"/>
      <c r="H514" s="21" t="s">
        <v>57</v>
      </c>
      <c r="I514" s="21" t="s">
        <v>57</v>
      </c>
      <c r="J514" s="21" t="s">
        <v>57</v>
      </c>
      <c r="K514" s="21" t="s">
        <v>57</v>
      </c>
      <c r="L514" s="21" t="s">
        <v>57</v>
      </c>
      <c r="M514" s="21"/>
      <c r="N514" s="21" t="s">
        <v>57</v>
      </c>
      <c r="O514" s="21" t="s">
        <v>57</v>
      </c>
      <c r="P514" s="21" t="s">
        <v>57</v>
      </c>
      <c r="Q514" s="21"/>
      <c r="R514" s="21" t="s">
        <v>57</v>
      </c>
      <c r="S514" s="21" t="s">
        <v>57</v>
      </c>
      <c r="T514" s="21" t="s">
        <v>57</v>
      </c>
      <c r="U514" s="21" t="s">
        <v>57</v>
      </c>
      <c r="V514" s="21" t="s">
        <v>57</v>
      </c>
      <c r="W514" s="21"/>
      <c r="X514" s="21" t="s">
        <v>57</v>
      </c>
      <c r="Y514" s="21" t="s">
        <v>57</v>
      </c>
      <c r="Z514" s="21" t="s">
        <v>57</v>
      </c>
      <c r="AA514" s="21" t="s">
        <v>57</v>
      </c>
      <c r="AB514" s="21" t="s">
        <v>57</v>
      </c>
      <c r="AC514" s="21"/>
      <c r="AD514" s="21"/>
    </row>
    <row r="515" spans="1:30" x14ac:dyDescent="0.2">
      <c r="A515" s="18"/>
      <c r="D515" s="35"/>
      <c r="E515" s="21"/>
      <c r="F515" s="21"/>
      <c r="G515" s="21"/>
      <c r="H515" s="19"/>
      <c r="I515" s="21"/>
      <c r="J515" s="21"/>
      <c r="K515" s="21"/>
      <c r="L515" s="21"/>
      <c r="M515" s="21"/>
      <c r="N515" s="19">
        <f>H515+L515</f>
        <v>0</v>
      </c>
      <c r="O515" s="21"/>
      <c r="P515" s="21"/>
      <c r="Q515" s="21"/>
      <c r="R515" s="19"/>
      <c r="S515" s="21"/>
      <c r="T515" s="21"/>
      <c r="U515" s="21"/>
      <c r="V515" s="21"/>
      <c r="W515" s="21"/>
      <c r="X515" s="19">
        <f>R515+V515</f>
        <v>0</v>
      </c>
      <c r="Y515" s="19"/>
      <c r="Z515" s="19"/>
      <c r="AA515" s="19">
        <f>N515+X515</f>
        <v>0</v>
      </c>
      <c r="AB515" s="19"/>
      <c r="AC515" s="19"/>
      <c r="AD515" s="19"/>
    </row>
    <row r="516" spans="1:30" x14ac:dyDescent="0.2">
      <c r="A516" s="18">
        <v>36</v>
      </c>
      <c r="B516" s="3" t="s">
        <v>213</v>
      </c>
      <c r="C516" s="17" t="s">
        <v>51</v>
      </c>
      <c r="D516" s="19">
        <f>12860904/1000</f>
        <v>12860.904</v>
      </c>
      <c r="E516" s="19">
        <f>[1]TOBEPAID!E384/1000</f>
        <v>12688.340150000002</v>
      </c>
      <c r="F516" s="19">
        <f>[1]TOBEPAID!F384/1000</f>
        <v>0</v>
      </c>
      <c r="G516" s="19">
        <f>[1]TOBEPAID!G384/1000</f>
        <v>0</v>
      </c>
      <c r="H516" s="19">
        <f>8650767/1000</f>
        <v>8650.7669999999998</v>
      </c>
      <c r="I516" s="19">
        <f>[1]TOBEPAID!I384/1000</f>
        <v>0</v>
      </c>
      <c r="J516" s="19">
        <f>[1]TOBEPAID!J384/1000</f>
        <v>0</v>
      </c>
      <c r="K516" s="19">
        <f>[1]TOBEPAID!K384/1000</f>
        <v>0</v>
      </c>
      <c r="L516" s="19">
        <f>[1]TOBEPAID!L384/1000</f>
        <v>0</v>
      </c>
      <c r="M516" s="19">
        <f>[1]TOBEPAID!M384/1000</f>
        <v>0</v>
      </c>
      <c r="N516" s="19">
        <f>[1]TOBEPAID!N384/1000</f>
        <v>12688.340150000002</v>
      </c>
      <c r="O516" s="19">
        <f>[1]TOBEPAID!O384/1000</f>
        <v>0</v>
      </c>
      <c r="P516" s="19">
        <f>[1]TOBEPAID!P384/1000</f>
        <v>0</v>
      </c>
      <c r="Q516" s="19">
        <f>[1]TOBEPAID!Q384/1000</f>
        <v>0</v>
      </c>
      <c r="R516" s="19">
        <v>0</v>
      </c>
      <c r="S516" s="19">
        <f>[1]TOBEPAID!S384/1000</f>
        <v>0</v>
      </c>
      <c r="T516" s="19">
        <f>[1]TOBEPAID!T384/1000</f>
        <v>0</v>
      </c>
      <c r="U516" s="19">
        <f>[1]TOBEPAID!U384/1000</f>
        <v>0</v>
      </c>
      <c r="V516" s="19">
        <f>[1]TOBEPAID!V384/1000</f>
        <v>0</v>
      </c>
      <c r="W516" s="19">
        <f>[1]TOBEPAID!W384/1000</f>
        <v>0</v>
      </c>
      <c r="X516" s="19">
        <f>[1]TOBEPAID!X384/1000</f>
        <v>0</v>
      </c>
      <c r="Y516" s="19">
        <f>+H516+R516</f>
        <v>8650.7669999999998</v>
      </c>
      <c r="Z516" s="19">
        <f>+D516-Y516:Y516</f>
        <v>4210.1370000000006</v>
      </c>
      <c r="AA516" s="19">
        <f>[1]TOBEPAID!AA384/1000</f>
        <v>12688.340150000002</v>
      </c>
      <c r="AB516" s="19">
        <f>[1]TOBEPAID!AB384/1000</f>
        <v>172.5640199999977</v>
      </c>
      <c r="AC516" s="19"/>
      <c r="AD516" s="19"/>
    </row>
    <row r="517" spans="1:30" x14ac:dyDescent="0.2">
      <c r="A517" s="18"/>
      <c r="C517" s="3" t="s">
        <v>52</v>
      </c>
      <c r="D517" s="19">
        <f>1949520/1000</f>
        <v>1949.52</v>
      </c>
      <c r="E517" s="19">
        <f>[1]TOBEPAID!E385/1000</f>
        <v>1949.52</v>
      </c>
      <c r="F517" s="19">
        <f>[1]TOBEPAID!F385/1000</f>
        <v>0</v>
      </c>
      <c r="G517" s="19">
        <f>[1]TOBEPAID!G385/1000</f>
        <v>0</v>
      </c>
      <c r="H517" s="19">
        <f>1949520/1000</f>
        <v>1949.52</v>
      </c>
      <c r="I517" s="19">
        <f>[1]TOBEPAID!I385/1000</f>
        <v>0</v>
      </c>
      <c r="J517" s="19">
        <f>[1]TOBEPAID!J385/1000</f>
        <v>0</v>
      </c>
      <c r="K517" s="19">
        <f>[1]TOBEPAID!K385/1000</f>
        <v>0</v>
      </c>
      <c r="L517" s="19">
        <f>[1]TOBEPAID!L385/1000</f>
        <v>0</v>
      </c>
      <c r="M517" s="19">
        <f>[1]TOBEPAID!M385/1000</f>
        <v>0</v>
      </c>
      <c r="N517" s="19">
        <f>[1]TOBEPAID!N385/1000</f>
        <v>1949.52</v>
      </c>
      <c r="O517" s="19">
        <f>[1]TOBEPAID!O385/1000</f>
        <v>0</v>
      </c>
      <c r="P517" s="19">
        <f>[1]TOBEPAID!P385/1000</f>
        <v>0</v>
      </c>
      <c r="Q517" s="19">
        <f>[1]TOBEPAID!Q385/1000</f>
        <v>0</v>
      </c>
      <c r="R517" s="19">
        <v>0</v>
      </c>
      <c r="S517" s="19">
        <f>[1]TOBEPAID!S385/1000</f>
        <v>0</v>
      </c>
      <c r="T517" s="19">
        <f>[1]TOBEPAID!T385/1000</f>
        <v>0</v>
      </c>
      <c r="U517" s="19">
        <f>[1]TOBEPAID!U385/1000</f>
        <v>0</v>
      </c>
      <c r="V517" s="19">
        <f>[1]TOBEPAID!V385/1000</f>
        <v>0</v>
      </c>
      <c r="W517" s="19">
        <f>[1]TOBEPAID!W385/1000</f>
        <v>0</v>
      </c>
      <c r="X517" s="19">
        <f>[1]TOBEPAID!X385/1000</f>
        <v>0</v>
      </c>
      <c r="Y517" s="19">
        <f t="shared" ref="Y517:Y523" si="94">+H517+R517</f>
        <v>1949.52</v>
      </c>
      <c r="Z517" s="19">
        <f>+D517-Y517:Y517</f>
        <v>0</v>
      </c>
      <c r="AA517" s="19">
        <f>[1]TOBEPAID!AA385/1000</f>
        <v>1949.52</v>
      </c>
      <c r="AB517" s="19">
        <f>[1]TOBEPAID!AB385/1000</f>
        <v>0</v>
      </c>
      <c r="AC517" s="19"/>
      <c r="AD517" s="19"/>
    </row>
    <row r="518" spans="1:30" x14ac:dyDescent="0.2">
      <c r="C518" s="3" t="s">
        <v>75</v>
      </c>
      <c r="D518" s="3">
        <f>3563644.26/1000</f>
        <v>3563.6442599999996</v>
      </c>
      <c r="H518" s="3">
        <f>3563644.26/1000</f>
        <v>3563.6442599999996</v>
      </c>
      <c r="R518" s="19">
        <v>0</v>
      </c>
      <c r="Y518" s="19">
        <f t="shared" si="94"/>
        <v>3563.6442599999996</v>
      </c>
      <c r="Z518" s="19">
        <f>+D518-Y518:Y518</f>
        <v>0</v>
      </c>
    </row>
    <row r="519" spans="1:30" x14ac:dyDescent="0.2">
      <c r="C519" s="3" t="s">
        <v>67</v>
      </c>
      <c r="D519" s="3">
        <f>971000000/1000</f>
        <v>971000</v>
      </c>
      <c r="H519" s="3">
        <f>971000000/1000</f>
        <v>971000</v>
      </c>
      <c r="R519" s="19">
        <v>0</v>
      </c>
      <c r="Y519" s="19">
        <f>+H519+R519</f>
        <v>971000</v>
      </c>
      <c r="Z519" s="19">
        <f>+D519-Y519</f>
        <v>0</v>
      </c>
    </row>
    <row r="520" spans="1:30" x14ac:dyDescent="0.2">
      <c r="C520" s="3" t="s">
        <v>214</v>
      </c>
      <c r="D520" s="19">
        <f>4650327/1000</f>
        <v>4650.3270000000002</v>
      </c>
      <c r="E520" s="19">
        <f>[1]TOBEPAID!E386/1000</f>
        <v>4650.3275400000002</v>
      </c>
      <c r="F520" s="19">
        <f>[1]TOBEPAID!F386/1000</f>
        <v>0</v>
      </c>
      <c r="G520" s="19">
        <f>[1]TOBEPAID!G386/1000</f>
        <v>0</v>
      </c>
      <c r="H520" s="19">
        <f>4650327/1000</f>
        <v>4650.3270000000002</v>
      </c>
      <c r="I520" s="19">
        <f>[1]TOBEPAID!I386/1000</f>
        <v>0</v>
      </c>
      <c r="J520" s="19">
        <f>[1]TOBEPAID!J386/1000</f>
        <v>0</v>
      </c>
      <c r="K520" s="19">
        <f>[1]TOBEPAID!K386/1000</f>
        <v>0</v>
      </c>
      <c r="L520" s="19">
        <f>[1]TOBEPAID!L386/1000</f>
        <v>0</v>
      </c>
      <c r="M520" s="19">
        <f>[1]TOBEPAID!M386/1000</f>
        <v>0</v>
      </c>
      <c r="N520" s="19">
        <f>[1]TOBEPAID!N386/1000</f>
        <v>4650.3275400000002</v>
      </c>
      <c r="O520" s="19">
        <f>[1]TOBEPAID!O386/1000</f>
        <v>0</v>
      </c>
      <c r="P520" s="19">
        <f>[1]TOBEPAID!P386/1000</f>
        <v>0</v>
      </c>
      <c r="Q520" s="19">
        <f>[1]TOBEPAID!Q386/1000</f>
        <v>0</v>
      </c>
      <c r="R520" s="19">
        <v>0</v>
      </c>
      <c r="S520" s="19">
        <f>[1]TOBEPAID!S386/1000</f>
        <v>0</v>
      </c>
      <c r="T520" s="19">
        <f>[1]TOBEPAID!T386/1000</f>
        <v>0</v>
      </c>
      <c r="U520" s="19">
        <f>[1]TOBEPAID!U386/1000</f>
        <v>0</v>
      </c>
      <c r="V520" s="19">
        <f>[1]TOBEPAID!V386/1000</f>
        <v>0</v>
      </c>
      <c r="W520" s="19">
        <f>[1]TOBEPAID!W386/1000</f>
        <v>0</v>
      </c>
      <c r="X520" s="19">
        <f>[1]TOBEPAID!X386/1000</f>
        <v>0</v>
      </c>
      <c r="Y520" s="19">
        <f t="shared" si="94"/>
        <v>4650.3270000000002</v>
      </c>
      <c r="Z520" s="19">
        <f>+D520-Y520:Y520</f>
        <v>0</v>
      </c>
      <c r="AA520" s="19">
        <f>[1]TOBEPAID!AA386/1000</f>
        <v>4650.3275400000002</v>
      </c>
      <c r="AB520" s="19">
        <f>[1]TOBEPAID!AB386/1000</f>
        <v>0</v>
      </c>
      <c r="AC520" s="19"/>
      <c r="AD520" s="19"/>
    </row>
    <row r="521" spans="1:30" x14ac:dyDescent="0.2">
      <c r="C521" s="3" t="s">
        <v>79</v>
      </c>
      <c r="D521" s="19">
        <f>834388.18/1000</f>
        <v>834.38818000000003</v>
      </c>
      <c r="E521" s="19"/>
      <c r="F521" s="19"/>
      <c r="G521" s="19"/>
      <c r="H521" s="19">
        <f>834388.18/1000</f>
        <v>834.38818000000003</v>
      </c>
      <c r="I521" s="19"/>
      <c r="J521" s="19"/>
      <c r="K521" s="19"/>
      <c r="L521" s="19"/>
      <c r="M521" s="19"/>
      <c r="N521" s="19"/>
      <c r="O521" s="19"/>
      <c r="P521" s="19"/>
      <c r="Q521" s="19"/>
      <c r="R521" s="19">
        <v>0</v>
      </c>
      <c r="S521" s="19"/>
      <c r="T521" s="19"/>
      <c r="U521" s="19"/>
      <c r="V521" s="19"/>
      <c r="W521" s="19"/>
      <c r="X521" s="19"/>
      <c r="Y521" s="19">
        <f t="shared" si="94"/>
        <v>834.38818000000003</v>
      </c>
      <c r="Z521" s="19">
        <f>+D521-Y521:Y521</f>
        <v>0</v>
      </c>
      <c r="AA521" s="19"/>
      <c r="AB521" s="19"/>
      <c r="AC521" s="19"/>
      <c r="AD521" s="19"/>
    </row>
    <row r="522" spans="1:30" x14ac:dyDescent="0.2">
      <c r="A522" s="18"/>
      <c r="C522" s="3" t="s">
        <v>96</v>
      </c>
      <c r="D522" s="19">
        <f>14239819/1000</f>
        <v>14239.819</v>
      </c>
      <c r="E522" s="19">
        <f>[1]TOBEPAID!E387/1000</f>
        <v>0</v>
      </c>
      <c r="F522" s="19">
        <f>[1]TOBEPAID!F387/1000</f>
        <v>0</v>
      </c>
      <c r="G522" s="19">
        <f>[1]TOBEPAID!G387/1000</f>
        <v>0</v>
      </c>
      <c r="H522" s="19">
        <v>0</v>
      </c>
      <c r="I522" s="19">
        <f>[1]TOBEPAID!I387/1000</f>
        <v>0</v>
      </c>
      <c r="J522" s="19">
        <f>[1]TOBEPAID!J387/1000</f>
        <v>0</v>
      </c>
      <c r="K522" s="19">
        <f>[1]TOBEPAID!K387/1000</f>
        <v>0</v>
      </c>
      <c r="L522" s="19">
        <f>[1]TOBEPAID!L387/1000</f>
        <v>0</v>
      </c>
      <c r="M522" s="19">
        <f>[1]TOBEPAID!M387/1000</f>
        <v>0</v>
      </c>
      <c r="N522" s="19">
        <f>[1]TOBEPAID!N387/1000</f>
        <v>0</v>
      </c>
      <c r="O522" s="19">
        <f>[1]TOBEPAID!O387/1000</f>
        <v>14239.81948</v>
      </c>
      <c r="P522" s="19">
        <f>[1]TOBEPAID!P387/1000</f>
        <v>0</v>
      </c>
      <c r="Q522" s="19">
        <f>[1]TOBEPAID!Q387/1000</f>
        <v>0</v>
      </c>
      <c r="R522" s="19">
        <f>14239819/1000</f>
        <v>14239.819</v>
      </c>
      <c r="S522" s="19">
        <f>[1]TOBEPAID!S387/1000</f>
        <v>0</v>
      </c>
      <c r="T522" s="19">
        <f>[1]TOBEPAID!T387/1000</f>
        <v>0</v>
      </c>
      <c r="U522" s="19">
        <f>[1]TOBEPAID!U387/1000</f>
        <v>0</v>
      </c>
      <c r="V522" s="19">
        <f>[1]TOBEPAID!V387/1000</f>
        <v>0</v>
      </c>
      <c r="W522" s="19">
        <f>[1]TOBEPAID!W387/1000</f>
        <v>0</v>
      </c>
      <c r="X522" s="19">
        <f>[1]TOBEPAID!X387/1000</f>
        <v>14239.81948</v>
      </c>
      <c r="Y522" s="19">
        <f t="shared" si="94"/>
        <v>14239.819</v>
      </c>
      <c r="Z522" s="19">
        <f>+D522-Y522:Y522</f>
        <v>0</v>
      </c>
      <c r="AA522" s="19">
        <f>[1]TOBEPAID!AA387/1000</f>
        <v>14239.81948</v>
      </c>
      <c r="AB522" s="19">
        <f>[1]TOBEPAID!AB387/1000</f>
        <v>0</v>
      </c>
      <c r="AC522" s="19"/>
      <c r="AD522" s="19"/>
    </row>
    <row r="523" spans="1:30" x14ac:dyDescent="0.2">
      <c r="A523" s="18"/>
      <c r="C523" s="3" t="s">
        <v>97</v>
      </c>
      <c r="D523" s="19">
        <f>[1]TOBEPAID!D388/1000</f>
        <v>10700.26303</v>
      </c>
      <c r="E523" s="19">
        <f>[1]TOBEPAID!E388/1000</f>
        <v>0</v>
      </c>
      <c r="F523" s="19">
        <f>[1]TOBEPAID!F388/1000</f>
        <v>0</v>
      </c>
      <c r="G523" s="19">
        <f>[1]TOBEPAID!G388/1000</f>
        <v>0</v>
      </c>
      <c r="H523" s="19">
        <v>0</v>
      </c>
      <c r="I523" s="19">
        <f>[1]TOBEPAID!I388/1000</f>
        <v>0</v>
      </c>
      <c r="J523" s="19">
        <f>[1]TOBEPAID!J388/1000</f>
        <v>0</v>
      </c>
      <c r="K523" s="19">
        <f>[1]TOBEPAID!K388/1000</f>
        <v>0</v>
      </c>
      <c r="L523" s="19">
        <f>[1]TOBEPAID!L388/1000</f>
        <v>0</v>
      </c>
      <c r="M523" s="19">
        <f>[1]TOBEPAID!M388/1000</f>
        <v>0</v>
      </c>
      <c r="N523" s="19">
        <f>[1]TOBEPAID!N388/1000</f>
        <v>0</v>
      </c>
      <c r="O523" s="19">
        <f>[1]TOBEPAID!O388/1000</f>
        <v>10700.26303</v>
      </c>
      <c r="P523" s="19">
        <f>[1]TOBEPAID!P388/1000</f>
        <v>0</v>
      </c>
      <c r="Q523" s="19">
        <f>[1]TOBEPAID!Q388/1000</f>
        <v>0</v>
      </c>
      <c r="R523" s="19">
        <f>10700263/1000</f>
        <v>10700.263000000001</v>
      </c>
      <c r="S523" s="19">
        <f>[1]TOBEPAID!S388/1000</f>
        <v>0</v>
      </c>
      <c r="T523" s="19">
        <f>[1]TOBEPAID!T388/1000</f>
        <v>0</v>
      </c>
      <c r="U523" s="19">
        <f>[1]TOBEPAID!U388/1000</f>
        <v>0</v>
      </c>
      <c r="V523" s="19">
        <f>[1]TOBEPAID!V388/1000</f>
        <v>0</v>
      </c>
      <c r="W523" s="19">
        <f>[1]TOBEPAID!W388/1000</f>
        <v>0</v>
      </c>
      <c r="X523" s="19">
        <f>[1]TOBEPAID!X388/1000</f>
        <v>10700.26303</v>
      </c>
      <c r="Y523" s="19">
        <f t="shared" si="94"/>
        <v>10700.263000000001</v>
      </c>
      <c r="Z523" s="19">
        <f>+D523-Y523:Y523</f>
        <v>2.9999999242136255E-5</v>
      </c>
      <c r="AA523" s="19">
        <f>[1]TOBEPAID!AA388/1000</f>
        <v>10700.26303</v>
      </c>
      <c r="AB523" s="19">
        <f>[1]TOBEPAID!AB388/1000</f>
        <v>0</v>
      </c>
      <c r="AC523" s="19"/>
      <c r="AD523" s="19"/>
    </row>
    <row r="524" spans="1:30" x14ac:dyDescent="0.2">
      <c r="A524" s="18"/>
      <c r="D524" s="21" t="s">
        <v>57</v>
      </c>
      <c r="E524" s="21" t="s">
        <v>57</v>
      </c>
      <c r="F524" s="21" t="s">
        <v>57</v>
      </c>
      <c r="G524" s="21"/>
      <c r="H524" s="21" t="s">
        <v>57</v>
      </c>
      <c r="I524" s="21" t="s">
        <v>57</v>
      </c>
      <c r="J524" s="21" t="s">
        <v>57</v>
      </c>
      <c r="K524" s="21" t="s">
        <v>57</v>
      </c>
      <c r="L524" s="21" t="s">
        <v>57</v>
      </c>
      <c r="M524" s="21"/>
      <c r="N524" s="21" t="s">
        <v>57</v>
      </c>
      <c r="O524" s="21" t="s">
        <v>57</v>
      </c>
      <c r="P524" s="21" t="s">
        <v>57</v>
      </c>
      <c r="Q524" s="21"/>
      <c r="R524" s="21" t="s">
        <v>57</v>
      </c>
      <c r="S524" s="21" t="s">
        <v>57</v>
      </c>
      <c r="T524" s="21" t="s">
        <v>57</v>
      </c>
      <c r="U524" s="21" t="s">
        <v>57</v>
      </c>
      <c r="V524" s="21" t="s">
        <v>57</v>
      </c>
      <c r="W524" s="21"/>
      <c r="X524" s="21" t="s">
        <v>57</v>
      </c>
      <c r="Y524" s="21" t="s">
        <v>57</v>
      </c>
      <c r="Z524" s="21" t="s">
        <v>57</v>
      </c>
      <c r="AA524" s="21" t="s">
        <v>57</v>
      </c>
      <c r="AB524" s="21" t="s">
        <v>57</v>
      </c>
      <c r="AC524" s="21"/>
      <c r="AD524" s="21"/>
    </row>
    <row r="525" spans="1:30" x14ac:dyDescent="0.2">
      <c r="A525" s="18"/>
      <c r="D525" s="35">
        <f>SUM(D516:D523)</f>
        <v>1019798.8654700001</v>
      </c>
      <c r="E525" s="35">
        <f>SUM(E516:E523)</f>
        <v>19288.187690000002</v>
      </c>
      <c r="F525" s="35">
        <f>SUM(F516:F523)</f>
        <v>0</v>
      </c>
      <c r="G525" s="35"/>
      <c r="H525" s="35">
        <f>SUM(H516:H523)</f>
        <v>990648.64644000004</v>
      </c>
      <c r="I525" s="35">
        <f>SUM(I516:I523)</f>
        <v>0</v>
      </c>
      <c r="J525" s="35">
        <f>SUM(J516:J523)</f>
        <v>0</v>
      </c>
      <c r="K525" s="35">
        <f>SUM(K516:K523)</f>
        <v>0</v>
      </c>
      <c r="L525" s="35">
        <f>SUM(L516:L523)</f>
        <v>0</v>
      </c>
      <c r="M525" s="35"/>
      <c r="N525" s="35">
        <f>SUM(N516:N523)</f>
        <v>19288.187690000002</v>
      </c>
      <c r="O525" s="35">
        <f>SUM(O516:O523)</f>
        <v>24940.08251</v>
      </c>
      <c r="P525" s="35">
        <f>SUM(P516:P523)</f>
        <v>0</v>
      </c>
      <c r="Q525" s="35"/>
      <c r="R525" s="35">
        <f>SUM(R516:R523)</f>
        <v>24940.082000000002</v>
      </c>
      <c r="S525" s="35">
        <f>SUM(S516:S523)</f>
        <v>0</v>
      </c>
      <c r="T525" s="35">
        <f>SUM(T516:T523)</f>
        <v>0</v>
      </c>
      <c r="U525" s="35">
        <f>SUM(U516:U523)</f>
        <v>0</v>
      </c>
      <c r="V525" s="35">
        <f>SUM(V516:V523)</f>
        <v>0</v>
      </c>
      <c r="W525" s="35"/>
      <c r="X525" s="35">
        <f>SUM(X516:X523)</f>
        <v>24940.08251</v>
      </c>
      <c r="Y525" s="35">
        <f>SUM(Y516:Y523)</f>
        <v>1015588.7284400001</v>
      </c>
      <c r="Z525" s="35">
        <f>SUM(Z516:Z523)</f>
        <v>4210.1370299999999</v>
      </c>
      <c r="AA525" s="35">
        <f>SUM(AA516:AA523)</f>
        <v>44228.270200000006</v>
      </c>
      <c r="AB525" s="35">
        <f>SUM(AB516:AB523)</f>
        <v>172.5640199999977</v>
      </c>
      <c r="AC525" s="35"/>
      <c r="AD525" s="35"/>
    </row>
    <row r="526" spans="1:30" x14ac:dyDescent="0.2">
      <c r="A526" s="18"/>
      <c r="D526" s="21" t="s">
        <v>57</v>
      </c>
      <c r="E526" s="21" t="s">
        <v>57</v>
      </c>
      <c r="F526" s="21" t="s">
        <v>57</v>
      </c>
      <c r="G526" s="21"/>
      <c r="H526" s="21" t="s">
        <v>57</v>
      </c>
      <c r="I526" s="21" t="s">
        <v>57</v>
      </c>
      <c r="J526" s="21" t="s">
        <v>57</v>
      </c>
      <c r="K526" s="21" t="s">
        <v>57</v>
      </c>
      <c r="L526" s="21" t="s">
        <v>57</v>
      </c>
      <c r="M526" s="21"/>
      <c r="N526" s="21" t="s">
        <v>57</v>
      </c>
      <c r="O526" s="21" t="s">
        <v>57</v>
      </c>
      <c r="P526" s="21" t="s">
        <v>57</v>
      </c>
      <c r="Q526" s="21"/>
      <c r="R526" s="21" t="s">
        <v>57</v>
      </c>
      <c r="S526" s="21" t="s">
        <v>57</v>
      </c>
      <c r="T526" s="21" t="s">
        <v>57</v>
      </c>
      <c r="U526" s="21" t="s">
        <v>57</v>
      </c>
      <c r="V526" s="21" t="s">
        <v>57</v>
      </c>
      <c r="W526" s="21"/>
      <c r="X526" s="21" t="s">
        <v>57</v>
      </c>
      <c r="Y526" s="21" t="s">
        <v>57</v>
      </c>
      <c r="Z526" s="21" t="s">
        <v>57</v>
      </c>
      <c r="AA526" s="21" t="s">
        <v>57</v>
      </c>
      <c r="AB526" s="21" t="s">
        <v>57</v>
      </c>
      <c r="AC526" s="21"/>
      <c r="AD526" s="21"/>
    </row>
    <row r="527" spans="1:30" x14ac:dyDescent="0.2">
      <c r="A527" s="18"/>
      <c r="D527" s="21"/>
      <c r="E527" s="21"/>
      <c r="F527" s="42"/>
      <c r="G527" s="60"/>
      <c r="H527" s="27"/>
      <c r="I527" s="28"/>
      <c r="J527" s="28"/>
      <c r="K527" s="28"/>
      <c r="L527" s="27"/>
      <c r="M527" s="28"/>
      <c r="N527" s="27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1:30" x14ac:dyDescent="0.2">
      <c r="A528" s="18">
        <v>37</v>
      </c>
      <c r="B528" s="3" t="s">
        <v>215</v>
      </c>
      <c r="C528" s="17" t="s">
        <v>51</v>
      </c>
      <c r="D528" s="19">
        <v>0</v>
      </c>
      <c r="E528" s="19">
        <f>[1]TOBEPAID!E393/1000</f>
        <v>0</v>
      </c>
      <c r="F528" s="19">
        <f>[1]TOBEPAID!F393/1000</f>
        <v>0</v>
      </c>
      <c r="G528" s="19">
        <f>[1]TOBEPAID!G393/1000</f>
        <v>0</v>
      </c>
      <c r="H528" s="19">
        <v>0</v>
      </c>
      <c r="I528" s="19">
        <f>[1]TOBEPAID!I393/1000</f>
        <v>0</v>
      </c>
      <c r="J528" s="19">
        <f>[1]TOBEPAID!J393/1000</f>
        <v>0</v>
      </c>
      <c r="K528" s="19">
        <f>[1]TOBEPAID!K393/1000</f>
        <v>0</v>
      </c>
      <c r="L528" s="19">
        <f>[1]TOBEPAID!L393/1000</f>
        <v>0</v>
      </c>
      <c r="M528" s="19">
        <f>[1]TOBEPAID!M393/1000</f>
        <v>0</v>
      </c>
      <c r="N528" s="19">
        <f>[1]TOBEPAID!N393/1000</f>
        <v>0</v>
      </c>
      <c r="O528" s="19">
        <f>[1]TOBEPAID!O393/1000</f>
        <v>0</v>
      </c>
      <c r="P528" s="19">
        <f>[1]TOBEPAID!P393/1000</f>
        <v>0</v>
      </c>
      <c r="Q528" s="19">
        <f>[1]TOBEPAID!Q393/1000</f>
        <v>0</v>
      </c>
      <c r="R528" s="19">
        <v>0</v>
      </c>
      <c r="S528" s="19">
        <f>[1]TOBEPAID!S393/1000</f>
        <v>0</v>
      </c>
      <c r="T528" s="19">
        <f>[1]TOBEPAID!T393/1000</f>
        <v>0</v>
      </c>
      <c r="U528" s="19">
        <f>[1]TOBEPAID!U393/1000</f>
        <v>0</v>
      </c>
      <c r="V528" s="19">
        <f>[1]TOBEPAID!V393/1000</f>
        <v>0</v>
      </c>
      <c r="W528" s="19">
        <f>[1]TOBEPAID!W393/1000</f>
        <v>0</v>
      </c>
      <c r="X528" s="19">
        <f>[1]TOBEPAID!X393/1000</f>
        <v>0</v>
      </c>
      <c r="Y528" s="19">
        <f>+H528+R528</f>
        <v>0</v>
      </c>
      <c r="Z528" s="19">
        <f t="shared" ref="Z528:Z538" si="95">+D528-Y528</f>
        <v>0</v>
      </c>
      <c r="AA528" s="19">
        <f>[1]TOBEPAID!AA393/1000</f>
        <v>0</v>
      </c>
      <c r="AB528" s="19">
        <f>[1]TOBEPAID!AB393/1000</f>
        <v>0</v>
      </c>
      <c r="AC528" s="19"/>
      <c r="AD528" s="19"/>
    </row>
    <row r="529" spans="1:30" x14ac:dyDescent="0.2">
      <c r="A529" s="18"/>
      <c r="C529" s="17" t="s">
        <v>180</v>
      </c>
      <c r="D529" s="19">
        <f>167520000/1000</f>
        <v>167520</v>
      </c>
      <c r="E529" s="19"/>
      <c r="F529" s="19"/>
      <c r="G529" s="19"/>
      <c r="H529" s="19">
        <f>88435116.12/1000</f>
        <v>88435.116120000006</v>
      </c>
      <c r="I529" s="19"/>
      <c r="J529" s="19"/>
      <c r="K529" s="19"/>
      <c r="L529" s="19"/>
      <c r="M529" s="19"/>
      <c r="N529" s="19"/>
      <c r="O529" s="19"/>
      <c r="P529" s="19"/>
      <c r="Q529" s="19"/>
      <c r="R529" s="19">
        <v>0</v>
      </c>
      <c r="S529" s="19"/>
      <c r="T529" s="19"/>
      <c r="U529" s="19"/>
      <c r="V529" s="19"/>
      <c r="W529" s="19"/>
      <c r="X529" s="19"/>
      <c r="Y529" s="19">
        <f t="shared" ref="Y529:Y538" si="96">+H529+R529</f>
        <v>88435.116120000006</v>
      </c>
      <c r="Z529" s="19">
        <f t="shared" si="95"/>
        <v>79084.883879999994</v>
      </c>
      <c r="AA529" s="19"/>
      <c r="AB529" s="19"/>
      <c r="AC529" s="19"/>
      <c r="AD529" s="19"/>
    </row>
    <row r="530" spans="1:30" x14ac:dyDescent="0.2">
      <c r="A530" s="18"/>
      <c r="C530" s="3" t="s">
        <v>52</v>
      </c>
      <c r="D530" s="19">
        <f>1693952/1000</f>
        <v>1693.952</v>
      </c>
      <c r="E530" s="19">
        <f>[1]TOBEPAID!E394/1000</f>
        <v>1693.952</v>
      </c>
      <c r="F530" s="19">
        <f>[1]TOBEPAID!F394/1000</f>
        <v>0</v>
      </c>
      <c r="G530" s="19">
        <f>[1]TOBEPAID!G394/1000</f>
        <v>0</v>
      </c>
      <c r="H530" s="19">
        <f>1693952/1000</f>
        <v>1693.952</v>
      </c>
      <c r="I530" s="19">
        <f>[1]TOBEPAID!I394/1000</f>
        <v>0</v>
      </c>
      <c r="J530" s="19">
        <f>[1]TOBEPAID!J394/1000</f>
        <v>0</v>
      </c>
      <c r="K530" s="19">
        <f>[1]TOBEPAID!K394/1000</f>
        <v>0</v>
      </c>
      <c r="L530" s="19">
        <f>[1]TOBEPAID!L394/1000</f>
        <v>0</v>
      </c>
      <c r="M530" s="19">
        <f>[1]TOBEPAID!M394/1000</f>
        <v>0</v>
      </c>
      <c r="N530" s="19">
        <f>[1]TOBEPAID!N394/1000</f>
        <v>1693.952</v>
      </c>
      <c r="O530" s="19">
        <f>[1]TOBEPAID!O394/1000</f>
        <v>0</v>
      </c>
      <c r="P530" s="19">
        <f>[1]TOBEPAID!P394/1000</f>
        <v>0</v>
      </c>
      <c r="Q530" s="19">
        <f>[1]TOBEPAID!Q394/1000</f>
        <v>0</v>
      </c>
      <c r="R530" s="19">
        <v>0</v>
      </c>
      <c r="S530" s="19">
        <f>[1]TOBEPAID!S394/1000</f>
        <v>0</v>
      </c>
      <c r="T530" s="19">
        <f>[1]TOBEPAID!T394/1000</f>
        <v>0</v>
      </c>
      <c r="U530" s="19">
        <f>[1]TOBEPAID!U394/1000</f>
        <v>0</v>
      </c>
      <c r="V530" s="19">
        <f>[1]TOBEPAID!V394/1000</f>
        <v>0</v>
      </c>
      <c r="W530" s="19">
        <f>[1]TOBEPAID!W394/1000</f>
        <v>0</v>
      </c>
      <c r="X530" s="19">
        <f>[1]TOBEPAID!X394/1000</f>
        <v>0</v>
      </c>
      <c r="Y530" s="19">
        <f t="shared" si="96"/>
        <v>1693.952</v>
      </c>
      <c r="Z530" s="19">
        <f t="shared" si="95"/>
        <v>0</v>
      </c>
      <c r="AA530" s="19">
        <f>[1]TOBEPAID!AA394/1000</f>
        <v>1693.952</v>
      </c>
      <c r="AB530" s="19">
        <f>[1]TOBEPAID!AB394/1000</f>
        <v>0</v>
      </c>
      <c r="AC530" s="19"/>
      <c r="AD530" s="19"/>
    </row>
    <row r="531" spans="1:30" x14ac:dyDescent="0.2">
      <c r="C531" s="3" t="s">
        <v>214</v>
      </c>
      <c r="D531" s="19">
        <f>6090896/1000</f>
        <v>6090.8959999999997</v>
      </c>
      <c r="E531" s="19">
        <f>[1]TOBEPAID!E395/1000</f>
        <v>6090.8965900000003</v>
      </c>
      <c r="F531" s="19">
        <f>[1]TOBEPAID!F395/1000</f>
        <v>0</v>
      </c>
      <c r="G531" s="19">
        <f>[1]TOBEPAID!G395/1000</f>
        <v>0</v>
      </c>
      <c r="H531" s="19">
        <f>6090893/1000</f>
        <v>6090.893</v>
      </c>
      <c r="I531" s="19">
        <f>[1]TOBEPAID!I395/1000</f>
        <v>0</v>
      </c>
      <c r="J531" s="19">
        <f>[1]TOBEPAID!J395/1000</f>
        <v>0</v>
      </c>
      <c r="K531" s="19">
        <f>[1]TOBEPAID!K395/1000</f>
        <v>0</v>
      </c>
      <c r="L531" s="19">
        <f>[1]TOBEPAID!L395/1000</f>
        <v>0</v>
      </c>
      <c r="M531" s="19">
        <f>[1]TOBEPAID!M395/1000</f>
        <v>0</v>
      </c>
      <c r="N531" s="19">
        <f>[1]TOBEPAID!N395/1000</f>
        <v>6090.8965900000003</v>
      </c>
      <c r="O531" s="19">
        <f>[1]TOBEPAID!O395/1000</f>
        <v>0</v>
      </c>
      <c r="P531" s="19">
        <f>[1]TOBEPAID!P395/1000</f>
        <v>0</v>
      </c>
      <c r="Q531" s="19">
        <f>[1]TOBEPAID!Q395/1000</f>
        <v>0</v>
      </c>
      <c r="R531" s="19">
        <v>0</v>
      </c>
      <c r="S531" s="19">
        <f>[1]TOBEPAID!S395/1000</f>
        <v>0</v>
      </c>
      <c r="T531" s="19">
        <f>[1]TOBEPAID!T395/1000</f>
        <v>0</v>
      </c>
      <c r="U531" s="19">
        <f>[1]TOBEPAID!U395/1000</f>
        <v>0</v>
      </c>
      <c r="V531" s="19">
        <f>[1]TOBEPAID!V395/1000</f>
        <v>0</v>
      </c>
      <c r="W531" s="19">
        <f>[1]TOBEPAID!W395/1000</f>
        <v>0</v>
      </c>
      <c r="X531" s="19">
        <f>[1]TOBEPAID!X395/1000</f>
        <v>0</v>
      </c>
      <c r="Y531" s="19">
        <f t="shared" si="96"/>
        <v>6090.893</v>
      </c>
      <c r="Z531" s="19">
        <f t="shared" si="95"/>
        <v>2.9999999997016857E-3</v>
      </c>
      <c r="AA531" s="19">
        <f>[1]TOBEPAID!AA395/1000</f>
        <v>6090.8965900000003</v>
      </c>
      <c r="AB531" s="19">
        <f>[1]TOBEPAID!AB395/1000</f>
        <v>0</v>
      </c>
      <c r="AC531" s="19"/>
      <c r="AD531" s="19"/>
    </row>
    <row r="532" spans="1:30" x14ac:dyDescent="0.2">
      <c r="C532" s="3" t="s">
        <v>79</v>
      </c>
      <c r="D532" s="3">
        <f>8614994.82/1000</f>
        <v>8614.9948199999999</v>
      </c>
      <c r="H532" s="3">
        <f>8614994.82/1000</f>
        <v>8614.9948199999999</v>
      </c>
      <c r="R532" s="19">
        <v>0</v>
      </c>
      <c r="Y532" s="19">
        <f t="shared" si="96"/>
        <v>8614.9948199999999</v>
      </c>
      <c r="Z532" s="19">
        <f t="shared" si="95"/>
        <v>0</v>
      </c>
    </row>
    <row r="533" spans="1:30" x14ac:dyDescent="0.2">
      <c r="C533" s="3" t="s">
        <v>66</v>
      </c>
      <c r="D533" s="3">
        <f>65000000/1000</f>
        <v>65000</v>
      </c>
      <c r="H533" s="3">
        <f>65000000/1000</f>
        <v>65000</v>
      </c>
      <c r="R533" s="19">
        <v>0</v>
      </c>
      <c r="Y533" s="19">
        <f t="shared" si="96"/>
        <v>65000</v>
      </c>
      <c r="Z533" s="19">
        <f t="shared" si="95"/>
        <v>0</v>
      </c>
    </row>
    <row r="534" spans="1:30" x14ac:dyDescent="0.2">
      <c r="C534" s="3" t="s">
        <v>62</v>
      </c>
      <c r="D534" s="19">
        <f>2014079/1000</f>
        <v>2014.079</v>
      </c>
      <c r="E534" s="19">
        <f>[1]TOBEPAID!E396/1000</f>
        <v>2014.0790099999999</v>
      </c>
      <c r="F534" s="19">
        <f>[1]TOBEPAID!F396/1000</f>
        <v>0</v>
      </c>
      <c r="G534" s="19">
        <f>[1]TOBEPAID!G396/1000</f>
        <v>0</v>
      </c>
      <c r="H534" s="19">
        <f>2014079/1000</f>
        <v>2014.079</v>
      </c>
      <c r="I534" s="19">
        <f>[1]TOBEPAID!I396/1000</f>
        <v>0</v>
      </c>
      <c r="J534" s="19">
        <f>[1]TOBEPAID!J396/1000</f>
        <v>0</v>
      </c>
      <c r="K534" s="19">
        <f>[1]TOBEPAID!K396/1000</f>
        <v>0</v>
      </c>
      <c r="L534" s="19">
        <f>[1]TOBEPAID!L396/1000</f>
        <v>0</v>
      </c>
      <c r="M534" s="19">
        <f>[1]TOBEPAID!M396/1000</f>
        <v>0</v>
      </c>
      <c r="N534" s="19">
        <f>[1]TOBEPAID!N396/1000</f>
        <v>2014.0790099999999</v>
      </c>
      <c r="O534" s="19">
        <f>[1]TOBEPAID!O396/1000</f>
        <v>0</v>
      </c>
      <c r="P534" s="19">
        <f>[1]TOBEPAID!P396/1000</f>
        <v>0</v>
      </c>
      <c r="Q534" s="19">
        <f>[1]TOBEPAID!Q396/1000</f>
        <v>0</v>
      </c>
      <c r="R534" s="19">
        <v>0</v>
      </c>
      <c r="S534" s="19">
        <f>[1]TOBEPAID!S396/1000</f>
        <v>0</v>
      </c>
      <c r="T534" s="19">
        <f>[1]TOBEPAID!T396/1000</f>
        <v>0</v>
      </c>
      <c r="U534" s="19">
        <f>[1]TOBEPAID!U396/1000</f>
        <v>0</v>
      </c>
      <c r="V534" s="19">
        <f>[1]TOBEPAID!V396/1000</f>
        <v>0</v>
      </c>
      <c r="W534" s="19">
        <f>[1]TOBEPAID!W396/1000</f>
        <v>0</v>
      </c>
      <c r="X534" s="19">
        <f>[1]TOBEPAID!X396/1000</f>
        <v>0</v>
      </c>
      <c r="Y534" s="19">
        <f t="shared" si="96"/>
        <v>2014.079</v>
      </c>
      <c r="Z534" s="19">
        <f t="shared" si="95"/>
        <v>0</v>
      </c>
      <c r="AA534" s="19">
        <f>[1]TOBEPAID!AA396/1000</f>
        <v>2014.0790099999999</v>
      </c>
      <c r="AB534" s="19">
        <f>[1]TOBEPAID!AB396/1000</f>
        <v>0</v>
      </c>
      <c r="AC534" s="19"/>
      <c r="AD534" s="19"/>
    </row>
    <row r="535" spans="1:30" x14ac:dyDescent="0.2">
      <c r="C535" s="3" t="s">
        <v>161</v>
      </c>
      <c r="D535" s="19">
        <f>12000000/1000</f>
        <v>12000</v>
      </c>
      <c r="E535" s="19"/>
      <c r="F535" s="19"/>
      <c r="G535" s="19"/>
      <c r="H535" s="19">
        <f>12000000/1000</f>
        <v>12000</v>
      </c>
      <c r="I535" s="19"/>
      <c r="J535" s="19"/>
      <c r="K535" s="19"/>
      <c r="L535" s="19"/>
      <c r="M535" s="19"/>
      <c r="N535" s="19"/>
      <c r="O535" s="19"/>
      <c r="P535" s="19"/>
      <c r="Q535" s="19"/>
      <c r="R535" s="19">
        <v>0</v>
      </c>
      <c r="S535" s="19"/>
      <c r="T535" s="19"/>
      <c r="U535" s="19"/>
      <c r="V535" s="19"/>
      <c r="W535" s="19"/>
      <c r="X535" s="19"/>
      <c r="Y535" s="19">
        <f t="shared" si="96"/>
        <v>12000</v>
      </c>
      <c r="Z535" s="19">
        <f t="shared" si="95"/>
        <v>0</v>
      </c>
      <c r="AA535" s="19"/>
      <c r="AB535" s="19"/>
      <c r="AC535" s="19"/>
      <c r="AD535" s="19"/>
    </row>
    <row r="536" spans="1:30" x14ac:dyDescent="0.2">
      <c r="C536" s="3" t="s">
        <v>76</v>
      </c>
      <c r="D536" s="19">
        <f>9800000/1000</f>
        <v>9800</v>
      </c>
      <c r="E536" s="19"/>
      <c r="F536" s="19"/>
      <c r="G536" s="19"/>
      <c r="H536" s="19">
        <f>9800000/1000</f>
        <v>9800</v>
      </c>
      <c r="I536" s="19"/>
      <c r="J536" s="19"/>
      <c r="K536" s="19"/>
      <c r="L536" s="19"/>
      <c r="M536" s="19"/>
      <c r="N536" s="19"/>
      <c r="O536" s="19"/>
      <c r="P536" s="19"/>
      <c r="Q536" s="19"/>
      <c r="R536" s="19">
        <v>0</v>
      </c>
      <c r="S536" s="19"/>
      <c r="T536" s="19"/>
      <c r="U536" s="19"/>
      <c r="V536" s="19"/>
      <c r="W536" s="19"/>
      <c r="X536" s="19"/>
      <c r="Y536" s="19">
        <f t="shared" si="96"/>
        <v>9800</v>
      </c>
      <c r="Z536" s="19">
        <f t="shared" si="95"/>
        <v>0</v>
      </c>
      <c r="AA536" s="19"/>
      <c r="AB536" s="19"/>
      <c r="AC536" s="19"/>
      <c r="AD536" s="19"/>
    </row>
    <row r="537" spans="1:30" x14ac:dyDescent="0.2">
      <c r="A537" s="18"/>
      <c r="C537" s="3" t="s">
        <v>96</v>
      </c>
      <c r="D537" s="19">
        <f>20848197/1000</f>
        <v>20848.197</v>
      </c>
      <c r="E537" s="19">
        <f>[1]TOBEPAID!E397/1000</f>
        <v>0</v>
      </c>
      <c r="F537" s="19">
        <f>[1]TOBEPAID!F397/1000</f>
        <v>0</v>
      </c>
      <c r="G537" s="19">
        <f>[1]TOBEPAID!G397/1000</f>
        <v>0</v>
      </c>
      <c r="H537" s="19">
        <v>0</v>
      </c>
      <c r="I537" s="19">
        <f>[1]TOBEPAID!I397/1000</f>
        <v>0</v>
      </c>
      <c r="J537" s="19">
        <f>[1]TOBEPAID!J397/1000</f>
        <v>0</v>
      </c>
      <c r="K537" s="19">
        <f>[1]TOBEPAID!K397/1000</f>
        <v>0</v>
      </c>
      <c r="L537" s="19">
        <f>[1]TOBEPAID!L397/1000</f>
        <v>0</v>
      </c>
      <c r="M537" s="19">
        <f>[1]TOBEPAID!M397/1000</f>
        <v>0</v>
      </c>
      <c r="N537" s="19">
        <f>[1]TOBEPAID!N397/1000</f>
        <v>0</v>
      </c>
      <c r="O537" s="19">
        <f>[1]TOBEPAID!O397/1000</f>
        <v>20848.197510000002</v>
      </c>
      <c r="P537" s="19">
        <f>[1]TOBEPAID!P397/1000</f>
        <v>0</v>
      </c>
      <c r="Q537" s="19">
        <f>[1]TOBEPAID!Q397/1000</f>
        <v>0</v>
      </c>
      <c r="R537" s="19">
        <f>20940025/1000</f>
        <v>20940.025000000001</v>
      </c>
      <c r="S537" s="19">
        <f>[1]TOBEPAID!S397/1000</f>
        <v>0</v>
      </c>
      <c r="T537" s="19">
        <f>[1]TOBEPAID!T397/1000</f>
        <v>0</v>
      </c>
      <c r="U537" s="19">
        <f>[1]TOBEPAID!U397/1000</f>
        <v>0</v>
      </c>
      <c r="V537" s="19">
        <f>[1]TOBEPAID!V397/1000</f>
        <v>0</v>
      </c>
      <c r="W537" s="19">
        <f>[1]TOBEPAID!W397/1000</f>
        <v>0</v>
      </c>
      <c r="X537" s="19">
        <f>[1]TOBEPAID!X397/1000</f>
        <v>20848.197510000002</v>
      </c>
      <c r="Y537" s="19">
        <f t="shared" si="96"/>
        <v>20940.025000000001</v>
      </c>
      <c r="Z537" s="19">
        <f t="shared" si="95"/>
        <v>-91.828000000001339</v>
      </c>
      <c r="AA537" s="19">
        <f>[1]TOBEPAID!AA397/1000</f>
        <v>20848.197510000002</v>
      </c>
      <c r="AB537" s="19">
        <f>[1]TOBEPAID!AB397/1000</f>
        <v>0</v>
      </c>
      <c r="AC537" s="19" t="s">
        <v>116</v>
      </c>
      <c r="AD537" s="19"/>
    </row>
    <row r="538" spans="1:30" x14ac:dyDescent="0.2">
      <c r="A538" s="18"/>
      <c r="C538" s="3" t="s">
        <v>97</v>
      </c>
      <c r="D538" s="19">
        <f>10700263/1000</f>
        <v>10700.263000000001</v>
      </c>
      <c r="E538" s="19">
        <f>[1]TOBEPAID!E398/1000</f>
        <v>0</v>
      </c>
      <c r="F538" s="19">
        <f>[1]TOBEPAID!F398/1000</f>
        <v>0</v>
      </c>
      <c r="G538" s="19">
        <f>[1]TOBEPAID!G398/1000</f>
        <v>0</v>
      </c>
      <c r="H538" s="19">
        <v>0</v>
      </c>
      <c r="I538" s="19">
        <f>[1]TOBEPAID!I398/1000</f>
        <v>0</v>
      </c>
      <c r="J538" s="19">
        <f>[1]TOBEPAID!J398/1000</f>
        <v>0</v>
      </c>
      <c r="K538" s="19">
        <f>[1]TOBEPAID!K398/1000</f>
        <v>0</v>
      </c>
      <c r="L538" s="19">
        <f>[1]TOBEPAID!L398/1000</f>
        <v>0</v>
      </c>
      <c r="M538" s="19">
        <f>[1]TOBEPAID!M398/1000</f>
        <v>0</v>
      </c>
      <c r="N538" s="19">
        <f>[1]TOBEPAID!N398/1000</f>
        <v>0</v>
      </c>
      <c r="O538" s="19">
        <f>[1]TOBEPAID!O398/1000</f>
        <v>10700.26303</v>
      </c>
      <c r="P538" s="19">
        <f>[1]TOBEPAID!P398/1000</f>
        <v>0</v>
      </c>
      <c r="Q538" s="19">
        <f>[1]TOBEPAID!Q398/1000</f>
        <v>0</v>
      </c>
      <c r="R538" s="19">
        <f>10700263/1000</f>
        <v>10700.263000000001</v>
      </c>
      <c r="S538" s="19">
        <f>[1]TOBEPAID!S398/1000</f>
        <v>0</v>
      </c>
      <c r="T538" s="19">
        <f>[1]TOBEPAID!T398/1000</f>
        <v>0</v>
      </c>
      <c r="U538" s="19">
        <f>[1]TOBEPAID!U398/1000</f>
        <v>0</v>
      </c>
      <c r="V538" s="19">
        <f>[1]TOBEPAID!V398/1000</f>
        <v>0</v>
      </c>
      <c r="W538" s="19">
        <f>[1]TOBEPAID!W398/1000</f>
        <v>0</v>
      </c>
      <c r="X538" s="19">
        <f>[1]TOBEPAID!X398/1000</f>
        <v>10700.26303</v>
      </c>
      <c r="Y538" s="19">
        <f t="shared" si="96"/>
        <v>10700.263000000001</v>
      </c>
      <c r="Z538" s="19">
        <f t="shared" si="95"/>
        <v>0</v>
      </c>
      <c r="AA538" s="19">
        <f>[1]TOBEPAID!AA398/1000</f>
        <v>10700.26303</v>
      </c>
      <c r="AB538" s="19">
        <f>[1]TOBEPAID!AB398/1000</f>
        <v>0</v>
      </c>
      <c r="AC538" s="19"/>
      <c r="AD538" s="19"/>
    </row>
    <row r="539" spans="1:30" x14ac:dyDescent="0.2">
      <c r="A539" s="18"/>
      <c r="D539" s="21" t="s">
        <v>57</v>
      </c>
      <c r="E539" s="21" t="s">
        <v>57</v>
      </c>
      <c r="F539" s="21" t="s">
        <v>57</v>
      </c>
      <c r="G539" s="21"/>
      <c r="H539" s="21" t="s">
        <v>57</v>
      </c>
      <c r="I539" s="21" t="s">
        <v>57</v>
      </c>
      <c r="J539" s="21" t="s">
        <v>57</v>
      </c>
      <c r="K539" s="21" t="s">
        <v>57</v>
      </c>
      <c r="L539" s="21" t="s">
        <v>57</v>
      </c>
      <c r="M539" s="21"/>
      <c r="N539" s="21" t="s">
        <v>57</v>
      </c>
      <c r="O539" s="21" t="s">
        <v>57</v>
      </c>
      <c r="P539" s="21" t="s">
        <v>57</v>
      </c>
      <c r="Q539" s="21"/>
      <c r="R539" s="21" t="s">
        <v>57</v>
      </c>
      <c r="S539" s="21" t="s">
        <v>57</v>
      </c>
      <c r="T539" s="21" t="s">
        <v>57</v>
      </c>
      <c r="U539" s="21" t="s">
        <v>57</v>
      </c>
      <c r="V539" s="21" t="s">
        <v>57</v>
      </c>
      <c r="W539" s="21"/>
      <c r="X539" s="21" t="s">
        <v>57</v>
      </c>
      <c r="Y539" s="21" t="s">
        <v>57</v>
      </c>
      <c r="Z539" s="21" t="s">
        <v>57</v>
      </c>
      <c r="AA539" s="21" t="s">
        <v>57</v>
      </c>
      <c r="AB539" s="21" t="s">
        <v>57</v>
      </c>
      <c r="AC539" s="21"/>
      <c r="AD539" s="21"/>
    </row>
    <row r="540" spans="1:30" x14ac:dyDescent="0.2">
      <c r="A540" s="18"/>
      <c r="D540" s="35">
        <f>SUM(D528:D538)</f>
        <v>304282.38181999995</v>
      </c>
      <c r="E540" s="35">
        <f>SUM(E528:E538)</f>
        <v>9798.9276000000009</v>
      </c>
      <c r="F540" s="35">
        <f>SUM(F528:F538)</f>
        <v>0</v>
      </c>
      <c r="G540" s="35"/>
      <c r="H540" s="35">
        <f>SUM(H528:H538)</f>
        <v>193649.03494000001</v>
      </c>
      <c r="I540" s="35">
        <f>SUM(I528:I538)</f>
        <v>0</v>
      </c>
      <c r="J540" s="35">
        <f>SUM(J528:J538)</f>
        <v>0</v>
      </c>
      <c r="K540" s="35">
        <f>SUM(K528:K538)</f>
        <v>0</v>
      </c>
      <c r="L540" s="35">
        <f>SUM(L528:L538)</f>
        <v>0</v>
      </c>
      <c r="M540" s="35"/>
      <c r="N540" s="35">
        <f>SUM(N528:N538)</f>
        <v>9798.9276000000009</v>
      </c>
      <c r="O540" s="35">
        <f>SUM(O528:O538)</f>
        <v>31548.46054</v>
      </c>
      <c r="P540" s="35">
        <f>SUM(P528:P538)</f>
        <v>0</v>
      </c>
      <c r="Q540" s="35"/>
      <c r="R540" s="35">
        <f>SUM(R528:R538)</f>
        <v>31640.288</v>
      </c>
      <c r="S540" s="35">
        <f>SUM(S528:S538)</f>
        <v>0</v>
      </c>
      <c r="T540" s="35">
        <f>SUM(T528:T538)</f>
        <v>0</v>
      </c>
      <c r="U540" s="35">
        <f>SUM(U528:U538)</f>
        <v>0</v>
      </c>
      <c r="V540" s="35">
        <f>SUM(V528:V538)</f>
        <v>0</v>
      </c>
      <c r="W540" s="35"/>
      <c r="X540" s="35">
        <f>SUM(X528:X538)</f>
        <v>31548.46054</v>
      </c>
      <c r="Y540" s="35">
        <f>SUM(Y528:Y538)</f>
        <v>225289.32294000001</v>
      </c>
      <c r="Z540" s="35">
        <f>SUM(Z528:Z538)</f>
        <v>78993.058879999997</v>
      </c>
      <c r="AA540" s="35">
        <f>SUM(AA528:AA538)</f>
        <v>41347.388140000003</v>
      </c>
      <c r="AB540" s="35">
        <f>SUM(AB528:AB538)</f>
        <v>0</v>
      </c>
      <c r="AC540" s="35"/>
      <c r="AD540" s="35"/>
    </row>
    <row r="541" spans="1:30" x14ac:dyDescent="0.2">
      <c r="A541" s="18"/>
      <c r="D541" s="21" t="s">
        <v>57</v>
      </c>
      <c r="E541" s="21" t="s">
        <v>57</v>
      </c>
      <c r="F541" s="21" t="s">
        <v>57</v>
      </c>
      <c r="G541" s="21"/>
      <c r="H541" s="21" t="s">
        <v>57</v>
      </c>
      <c r="I541" s="21" t="s">
        <v>57</v>
      </c>
      <c r="J541" s="21" t="s">
        <v>57</v>
      </c>
      <c r="K541" s="21" t="s">
        <v>57</v>
      </c>
      <c r="L541" s="21" t="s">
        <v>57</v>
      </c>
      <c r="M541" s="21"/>
      <c r="N541" s="21" t="s">
        <v>57</v>
      </c>
      <c r="O541" s="21" t="s">
        <v>57</v>
      </c>
      <c r="P541" s="21" t="s">
        <v>57</v>
      </c>
      <c r="Q541" s="21"/>
      <c r="R541" s="21" t="s">
        <v>57</v>
      </c>
      <c r="S541" s="21" t="s">
        <v>57</v>
      </c>
      <c r="T541" s="21" t="s">
        <v>57</v>
      </c>
      <c r="U541" s="21" t="s">
        <v>57</v>
      </c>
      <c r="V541" s="21" t="s">
        <v>57</v>
      </c>
      <c r="W541" s="21"/>
      <c r="X541" s="21" t="s">
        <v>57</v>
      </c>
      <c r="Y541" s="21" t="s">
        <v>57</v>
      </c>
      <c r="Z541" s="21" t="s">
        <v>57</v>
      </c>
      <c r="AA541" s="21" t="s">
        <v>57</v>
      </c>
      <c r="AB541" s="21" t="s">
        <v>57</v>
      </c>
      <c r="AC541" s="21"/>
      <c r="AD541" s="21"/>
    </row>
    <row r="542" spans="1:30" x14ac:dyDescent="0.2">
      <c r="A542" s="18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 t="s">
        <v>216</v>
      </c>
      <c r="Z542" s="21"/>
      <c r="AA542" s="21"/>
      <c r="AB542" s="21"/>
      <c r="AC542" s="21"/>
      <c r="AD542" s="21"/>
    </row>
    <row r="543" spans="1:30" x14ac:dyDescent="0.2">
      <c r="A543" s="18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61" t="s">
        <v>217</v>
      </c>
      <c r="Z543" s="21"/>
      <c r="AA543" s="21"/>
      <c r="AB543" s="21"/>
      <c r="AC543" s="21"/>
      <c r="AD543" s="21"/>
    </row>
    <row r="544" spans="1:30" x14ac:dyDescent="0.2">
      <c r="A544" s="18"/>
      <c r="D544" s="21"/>
      <c r="E544" s="21"/>
      <c r="F544" s="42"/>
      <c r="G544" s="60"/>
      <c r="H544" s="27"/>
      <c r="I544" s="28"/>
      <c r="J544" s="28"/>
      <c r="K544" s="28"/>
      <c r="L544" s="27"/>
      <c r="M544" s="28"/>
      <c r="N544" s="27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1:30" x14ac:dyDescent="0.2">
      <c r="A545" s="18">
        <v>38</v>
      </c>
      <c r="B545" s="3" t="s">
        <v>218</v>
      </c>
      <c r="C545" s="17" t="s">
        <v>51</v>
      </c>
      <c r="D545" s="19">
        <f>53418439/1000</f>
        <v>53418.438999999998</v>
      </c>
      <c r="E545" s="19">
        <f>[1]TOBEPAID!E403/1000</f>
        <v>0</v>
      </c>
      <c r="F545" s="19">
        <f>[1]TOBEPAID!F403/1000</f>
        <v>0</v>
      </c>
      <c r="G545" s="19">
        <f>[1]TOBEPAID!G403/1000</f>
        <v>0</v>
      </c>
      <c r="H545" s="19">
        <v>0</v>
      </c>
      <c r="I545" s="19">
        <f>[1]TOBEPAID!I403/1000</f>
        <v>0</v>
      </c>
      <c r="J545" s="19">
        <f>[1]TOBEPAID!J403/1000</f>
        <v>0</v>
      </c>
      <c r="K545" s="19">
        <f>[1]TOBEPAID!K403/1000</f>
        <v>0</v>
      </c>
      <c r="L545" s="19">
        <f>[1]TOBEPAID!L403/1000</f>
        <v>0</v>
      </c>
      <c r="M545" s="19">
        <f>[1]TOBEPAID!M403/1000</f>
        <v>0</v>
      </c>
      <c r="N545" s="19">
        <f>[1]TOBEPAID!N403/1000</f>
        <v>0</v>
      </c>
      <c r="O545" s="19">
        <f>[1]TOBEPAID!O403/1000</f>
        <v>81.926410000000004</v>
      </c>
      <c r="P545" s="19">
        <f>[1]TOBEPAID!P403/1000</f>
        <v>0</v>
      </c>
      <c r="Q545" s="19">
        <f>[1]TOBEPAID!Q403/1000</f>
        <v>0</v>
      </c>
      <c r="R545" s="19">
        <f>81926/1000</f>
        <v>81.926000000000002</v>
      </c>
      <c r="S545" s="19">
        <f>[1]TOBEPAID!S403/1000</f>
        <v>0</v>
      </c>
      <c r="T545" s="19">
        <f>[1]TOBEPAID!T403/1000</f>
        <v>0</v>
      </c>
      <c r="U545" s="19">
        <f>[1]TOBEPAID!U403/1000</f>
        <v>0</v>
      </c>
      <c r="V545" s="19">
        <f>[1]TOBEPAID!V403/1000</f>
        <v>0</v>
      </c>
      <c r="W545" s="19">
        <f>[1]TOBEPAID!W403/1000</f>
        <v>0</v>
      </c>
      <c r="X545" s="19">
        <f>[1]TOBEPAID!X403/1000</f>
        <v>81.926410000000004</v>
      </c>
      <c r="Y545" s="19">
        <f>+H545+R545</f>
        <v>81.926000000000002</v>
      </c>
      <c r="Z545" s="19">
        <f>+D545-Y545</f>
        <v>53336.512999999999</v>
      </c>
      <c r="AA545" s="19">
        <f>[1]TOBEPAID!AA403/1000</f>
        <v>81.926410000000004</v>
      </c>
      <c r="AB545" s="19">
        <f>[1]TOBEPAID!AB403/1000</f>
        <v>53336.513490000005</v>
      </c>
      <c r="AC545" s="19"/>
      <c r="AD545" s="19"/>
    </row>
    <row r="546" spans="1:30" x14ac:dyDescent="0.2">
      <c r="A546" s="18"/>
      <c r="C546" s="3" t="s">
        <v>52</v>
      </c>
      <c r="D546" s="19">
        <f>2565137/1000</f>
        <v>2565.1370000000002</v>
      </c>
      <c r="E546" s="19">
        <f>[1]TOBEPAID!E404/1000</f>
        <v>2565.1370000000002</v>
      </c>
      <c r="F546" s="19">
        <f>[1]TOBEPAID!F404/1000</f>
        <v>0</v>
      </c>
      <c r="G546" s="19">
        <f>[1]TOBEPAID!G404/1000</f>
        <v>0</v>
      </c>
      <c r="H546" s="19">
        <f>2565137/1000</f>
        <v>2565.1370000000002</v>
      </c>
      <c r="I546" s="19">
        <f>[1]TOBEPAID!I404/1000</f>
        <v>0</v>
      </c>
      <c r="J546" s="19">
        <f>[1]TOBEPAID!J404/1000</f>
        <v>0</v>
      </c>
      <c r="K546" s="19">
        <f>[1]TOBEPAID!K404/1000</f>
        <v>0</v>
      </c>
      <c r="L546" s="19">
        <f>[1]TOBEPAID!L404/1000</f>
        <v>0</v>
      </c>
      <c r="M546" s="19">
        <f>[1]TOBEPAID!M404/1000</f>
        <v>0</v>
      </c>
      <c r="N546" s="19">
        <f>[1]TOBEPAID!N404/1000</f>
        <v>2565.1370000000002</v>
      </c>
      <c r="O546" s="19">
        <f>[1]TOBEPAID!O404/1000</f>
        <v>0</v>
      </c>
      <c r="P546" s="19">
        <f>[1]TOBEPAID!P404/1000</f>
        <v>0</v>
      </c>
      <c r="Q546" s="19">
        <f>[1]TOBEPAID!Q404/1000</f>
        <v>0</v>
      </c>
      <c r="R546" s="19">
        <v>0</v>
      </c>
      <c r="S546" s="19">
        <f>[1]TOBEPAID!S404/1000</f>
        <v>0</v>
      </c>
      <c r="T546" s="19">
        <f>[1]TOBEPAID!T404/1000</f>
        <v>0</v>
      </c>
      <c r="U546" s="19">
        <f>[1]TOBEPAID!U404/1000</f>
        <v>0</v>
      </c>
      <c r="V546" s="19">
        <f>[1]TOBEPAID!V404/1000</f>
        <v>0</v>
      </c>
      <c r="W546" s="19">
        <f>[1]TOBEPAID!W404/1000</f>
        <v>0</v>
      </c>
      <c r="X546" s="19">
        <f>[1]TOBEPAID!X404/1000</f>
        <v>0</v>
      </c>
      <c r="Y546" s="19">
        <f>+H546+R546</f>
        <v>2565.1370000000002</v>
      </c>
      <c r="Z546" s="19">
        <f>+D546-Y546</f>
        <v>0</v>
      </c>
      <c r="AA546" s="19">
        <f>[1]TOBEPAID!AA404/1000</f>
        <v>2565.1370000000002</v>
      </c>
      <c r="AB546" s="19">
        <f>[1]TOBEPAID!AB404/1000</f>
        <v>0</v>
      </c>
      <c r="AC546" s="19"/>
      <c r="AD546" s="19"/>
    </row>
    <row r="547" spans="1:30" x14ac:dyDescent="0.2">
      <c r="A547" s="18"/>
      <c r="C547" s="3" t="s">
        <v>55</v>
      </c>
      <c r="D547" s="19">
        <f>3912782.83/1000</f>
        <v>3912.7828300000001</v>
      </c>
      <c r="E547" s="19">
        <f>[1]TOBEPAID!E405/1000</f>
        <v>0</v>
      </c>
      <c r="F547" s="19">
        <f>[1]TOBEPAID!F405/1000</f>
        <v>0</v>
      </c>
      <c r="G547" s="19">
        <f>[1]TOBEPAID!G405/1000</f>
        <v>0</v>
      </c>
      <c r="H547" s="19">
        <v>0</v>
      </c>
      <c r="I547" s="19">
        <f>[1]TOBEPAID!I405/1000</f>
        <v>0</v>
      </c>
      <c r="J547" s="19">
        <f>[1]TOBEPAID!J405/1000</f>
        <v>0</v>
      </c>
      <c r="K547" s="19">
        <f>[1]TOBEPAID!K405/1000</f>
        <v>0</v>
      </c>
      <c r="L547" s="19">
        <f>[1]TOBEPAID!L405/1000</f>
        <v>0</v>
      </c>
      <c r="M547" s="19">
        <f>[1]TOBEPAID!M405/1000</f>
        <v>0</v>
      </c>
      <c r="N547" s="19">
        <f>[1]TOBEPAID!N405/1000</f>
        <v>0</v>
      </c>
      <c r="O547" s="19">
        <f>[1]TOBEPAID!O405/1000</f>
        <v>0</v>
      </c>
      <c r="P547" s="19">
        <f>[1]TOBEPAID!P405/1000</f>
        <v>0</v>
      </c>
      <c r="Q547" s="19">
        <f>[1]TOBEPAID!Q405/1000</f>
        <v>0</v>
      </c>
      <c r="R547" s="19">
        <v>0</v>
      </c>
      <c r="S547" s="19">
        <f>[1]TOBEPAID!S405/1000</f>
        <v>0</v>
      </c>
      <c r="T547" s="19">
        <f>[1]TOBEPAID!T405/1000</f>
        <v>0</v>
      </c>
      <c r="U547" s="19">
        <f>[1]TOBEPAID!U405/1000</f>
        <v>0</v>
      </c>
      <c r="V547" s="19">
        <f>[1]TOBEPAID!V405/1000</f>
        <v>0</v>
      </c>
      <c r="W547" s="19">
        <f>[1]TOBEPAID!W405/1000</f>
        <v>0</v>
      </c>
      <c r="X547" s="19">
        <f>[1]TOBEPAID!X405/1000</f>
        <v>0</v>
      </c>
      <c r="Y547" s="19">
        <f>+H547+R547</f>
        <v>0</v>
      </c>
      <c r="Z547" s="19">
        <f>+D547-Y547</f>
        <v>3912.7828300000001</v>
      </c>
      <c r="AA547" s="19">
        <f>[1]TOBEPAID!AA405/1000</f>
        <v>0</v>
      </c>
      <c r="AB547" s="19">
        <f>[1]TOBEPAID!AB405/1000</f>
        <v>3912.7828300000001</v>
      </c>
      <c r="AC547" s="19"/>
      <c r="AD547" s="19"/>
    </row>
    <row r="548" spans="1:30" x14ac:dyDescent="0.2">
      <c r="A548" s="18"/>
      <c r="D548" s="21" t="s">
        <v>57</v>
      </c>
      <c r="E548" s="21" t="s">
        <v>57</v>
      </c>
      <c r="F548" s="21" t="s">
        <v>57</v>
      </c>
      <c r="G548" s="21"/>
      <c r="H548" s="21" t="s">
        <v>57</v>
      </c>
      <c r="I548" s="21" t="s">
        <v>57</v>
      </c>
      <c r="J548" s="21" t="s">
        <v>57</v>
      </c>
      <c r="K548" s="21" t="s">
        <v>57</v>
      </c>
      <c r="L548" s="21" t="s">
        <v>57</v>
      </c>
      <c r="M548" s="21"/>
      <c r="N548" s="21" t="s">
        <v>57</v>
      </c>
      <c r="O548" s="21" t="s">
        <v>57</v>
      </c>
      <c r="P548" s="21" t="s">
        <v>57</v>
      </c>
      <c r="Q548" s="21"/>
      <c r="R548" s="21" t="s">
        <v>57</v>
      </c>
      <c r="S548" s="21" t="s">
        <v>57</v>
      </c>
      <c r="T548" s="21" t="s">
        <v>57</v>
      </c>
      <c r="U548" s="21" t="s">
        <v>57</v>
      </c>
      <c r="V548" s="21" t="s">
        <v>57</v>
      </c>
      <c r="W548" s="21"/>
      <c r="X548" s="21" t="s">
        <v>57</v>
      </c>
      <c r="Y548" s="21" t="s">
        <v>57</v>
      </c>
      <c r="Z548" s="21" t="s">
        <v>57</v>
      </c>
      <c r="AA548" s="21" t="s">
        <v>57</v>
      </c>
      <c r="AB548" s="21" t="s">
        <v>57</v>
      </c>
      <c r="AC548" s="21"/>
      <c r="AD548" s="21"/>
    </row>
    <row r="549" spans="1:30" x14ac:dyDescent="0.2">
      <c r="A549" s="18"/>
      <c r="D549" s="35">
        <f>SUM(D545:D547)</f>
        <v>59896.358829999997</v>
      </c>
      <c r="E549" s="35">
        <f>SUM(E545:E547)</f>
        <v>2565.1370000000002</v>
      </c>
      <c r="F549" s="35">
        <f>SUM(F545:F547)</f>
        <v>0</v>
      </c>
      <c r="G549" s="35"/>
      <c r="H549" s="35">
        <f>SUM(H545:H547)</f>
        <v>2565.1370000000002</v>
      </c>
      <c r="I549" s="35">
        <f>SUM(I545:I547)</f>
        <v>0</v>
      </c>
      <c r="J549" s="35">
        <f>SUM(J545:J547)</f>
        <v>0</v>
      </c>
      <c r="K549" s="35">
        <f>SUM(K545:K547)</f>
        <v>0</v>
      </c>
      <c r="L549" s="35">
        <f>SUM(L545:L547)</f>
        <v>0</v>
      </c>
      <c r="M549" s="35"/>
      <c r="N549" s="35">
        <f>SUM(N545:N547)</f>
        <v>2565.1370000000002</v>
      </c>
      <c r="O549" s="35">
        <f>SUM(O545:O547)</f>
        <v>81.926410000000004</v>
      </c>
      <c r="P549" s="35">
        <f>SUM(P545:P547)</f>
        <v>0</v>
      </c>
      <c r="Q549" s="35"/>
      <c r="R549" s="35">
        <f>SUM(R545:R547)</f>
        <v>81.926000000000002</v>
      </c>
      <c r="S549" s="35">
        <f>SUM(S545:S547)</f>
        <v>0</v>
      </c>
      <c r="T549" s="35">
        <f>SUM(T545:T547)</f>
        <v>0</v>
      </c>
      <c r="U549" s="35">
        <f>SUM(U545:U547)</f>
        <v>0</v>
      </c>
      <c r="V549" s="35">
        <f>SUM(V545:V547)</f>
        <v>0</v>
      </c>
      <c r="W549" s="35"/>
      <c r="X549" s="35">
        <f>SUM(X545:X547)</f>
        <v>81.926410000000004</v>
      </c>
      <c r="Y549" s="35">
        <f>SUM(Y545:Y547)</f>
        <v>2647.0630000000001</v>
      </c>
      <c r="Z549" s="35">
        <f>SUM(Z545:Z547)</f>
        <v>57249.295830000003</v>
      </c>
      <c r="AA549" s="35">
        <f>SUM(AA545:AA547)</f>
        <v>2647.0634100000002</v>
      </c>
      <c r="AB549" s="35">
        <f>SUM(AB545:AB547)</f>
        <v>57249.296320000009</v>
      </c>
      <c r="AC549" s="35"/>
      <c r="AD549" s="35"/>
    </row>
    <row r="550" spans="1:30" x14ac:dyDescent="0.2">
      <c r="A550" s="18"/>
      <c r="D550" s="21" t="s">
        <v>57</v>
      </c>
      <c r="E550" s="21" t="s">
        <v>57</v>
      </c>
      <c r="F550" s="21" t="s">
        <v>57</v>
      </c>
      <c r="G550" s="21"/>
      <c r="H550" s="21" t="s">
        <v>57</v>
      </c>
      <c r="I550" s="21" t="s">
        <v>57</v>
      </c>
      <c r="J550" s="21" t="s">
        <v>57</v>
      </c>
      <c r="K550" s="21" t="s">
        <v>57</v>
      </c>
      <c r="L550" s="21" t="s">
        <v>57</v>
      </c>
      <c r="M550" s="21"/>
      <c r="N550" s="21" t="s">
        <v>57</v>
      </c>
      <c r="O550" s="21" t="s">
        <v>57</v>
      </c>
      <c r="P550" s="21" t="s">
        <v>57</v>
      </c>
      <c r="Q550" s="21"/>
      <c r="R550" s="21" t="s">
        <v>57</v>
      </c>
      <c r="S550" s="21" t="s">
        <v>57</v>
      </c>
      <c r="T550" s="21" t="s">
        <v>57</v>
      </c>
      <c r="U550" s="21" t="s">
        <v>57</v>
      </c>
      <c r="V550" s="21" t="s">
        <v>57</v>
      </c>
      <c r="W550" s="21"/>
      <c r="X550" s="21" t="s">
        <v>57</v>
      </c>
      <c r="Y550" s="21" t="s">
        <v>57</v>
      </c>
      <c r="Z550" s="21" t="s">
        <v>57</v>
      </c>
      <c r="AA550" s="30"/>
      <c r="AB550" s="21" t="s">
        <v>57</v>
      </c>
      <c r="AC550" s="21"/>
      <c r="AD550" s="21"/>
    </row>
    <row r="551" spans="1:30" x14ac:dyDescent="0.2">
      <c r="A551" s="18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62"/>
      <c r="Q551" s="21"/>
      <c r="R551" s="21"/>
      <c r="S551" s="21"/>
      <c r="T551" s="21"/>
      <c r="U551" s="21"/>
      <c r="V551" s="21"/>
      <c r="W551" s="21"/>
      <c r="X551" s="21"/>
      <c r="Y551" s="35"/>
      <c r="Z551" s="35"/>
      <c r="AA551" s="30"/>
      <c r="AB551" s="35"/>
      <c r="AC551" s="35"/>
      <c r="AD551" s="35"/>
    </row>
    <row r="552" spans="1:30" x14ac:dyDescent="0.2">
      <c r="A552" s="18">
        <v>39</v>
      </c>
      <c r="B552" s="3" t="s">
        <v>219</v>
      </c>
      <c r="C552" s="17" t="s">
        <v>51</v>
      </c>
      <c r="D552" s="19">
        <f>50603874/1000</f>
        <v>50603.874000000003</v>
      </c>
      <c r="E552" s="19">
        <f>[1]TOBEPAID!E410/1000</f>
        <v>0</v>
      </c>
      <c r="F552" s="19">
        <f>[1]TOBEPAID!F410/1000</f>
        <v>0</v>
      </c>
      <c r="G552" s="19">
        <f>[1]TOBEPAID!G410/1000</f>
        <v>0</v>
      </c>
      <c r="H552" s="19">
        <f>39065422/1000</f>
        <v>39065.421999999999</v>
      </c>
      <c r="I552" s="19">
        <f>[1]TOBEPAID!I410/1000</f>
        <v>0</v>
      </c>
      <c r="J552" s="19">
        <f>[1]TOBEPAID!J410/1000</f>
        <v>0</v>
      </c>
      <c r="K552" s="19">
        <f>[1]TOBEPAID!K410/1000</f>
        <v>0</v>
      </c>
      <c r="L552" s="19">
        <f>[1]TOBEPAID!L410/1000</f>
        <v>0</v>
      </c>
      <c r="M552" s="19">
        <f>[1]TOBEPAID!M410/1000</f>
        <v>0</v>
      </c>
      <c r="N552" s="19">
        <f>[1]TOBEPAID!N410/1000</f>
        <v>0</v>
      </c>
      <c r="O552" s="19">
        <f>[1]TOBEPAID!O410/1000</f>
        <v>0</v>
      </c>
      <c r="P552" s="19">
        <f>[1]TOBEPAID!P410/1000</f>
        <v>0</v>
      </c>
      <c r="Q552" s="19">
        <f>[1]TOBEPAID!Q410/1000</f>
        <v>0</v>
      </c>
      <c r="R552" s="19">
        <v>0</v>
      </c>
      <c r="S552" s="19">
        <f>[1]TOBEPAID!S410/1000</f>
        <v>0</v>
      </c>
      <c r="T552" s="19">
        <f>[1]TOBEPAID!T410/1000</f>
        <v>0</v>
      </c>
      <c r="U552" s="19">
        <f>[1]TOBEPAID!U410/1000</f>
        <v>0</v>
      </c>
      <c r="V552" s="19">
        <f>[1]TOBEPAID!V410/1000</f>
        <v>0</v>
      </c>
      <c r="W552" s="19">
        <f>[1]TOBEPAID!W410/1000</f>
        <v>0</v>
      </c>
      <c r="X552" s="19">
        <f>[1]TOBEPAID!X410/1000</f>
        <v>0</v>
      </c>
      <c r="Y552" s="19">
        <f t="shared" ref="Y552:Y559" si="97">+H552+R552</f>
        <v>39065.421999999999</v>
      </c>
      <c r="Z552" s="19">
        <f t="shared" ref="Z552:Z559" si="98">+D552-Y552</f>
        <v>11538.452000000005</v>
      </c>
      <c r="AA552" s="19">
        <f>[1]TOBEPAID!AA410/1000</f>
        <v>0</v>
      </c>
      <c r="AB552" s="19">
        <f>[1]TOBEPAID!AB410/1000</f>
        <v>50603.874040000002</v>
      </c>
      <c r="AC552" s="19"/>
      <c r="AD552" s="19"/>
    </row>
    <row r="553" spans="1:30" x14ac:dyDescent="0.2">
      <c r="A553" s="18"/>
      <c r="C553" s="3" t="s">
        <v>52</v>
      </c>
      <c r="D553" s="19">
        <f>2083523/1000</f>
        <v>2083.5230000000001</v>
      </c>
      <c r="E553" s="19">
        <f>[1]TOBEPAID!E411/1000</f>
        <v>2083.5230000000001</v>
      </c>
      <c r="F553" s="19">
        <f>[1]TOBEPAID!F411/1000</f>
        <v>0</v>
      </c>
      <c r="G553" s="19">
        <f>[1]TOBEPAID!G411/1000</f>
        <v>0</v>
      </c>
      <c r="H553" s="19">
        <f>2083523/1000</f>
        <v>2083.5230000000001</v>
      </c>
      <c r="I553" s="19">
        <f>[1]TOBEPAID!I411/1000</f>
        <v>0</v>
      </c>
      <c r="J553" s="19">
        <f>[1]TOBEPAID!J411/1000</f>
        <v>0</v>
      </c>
      <c r="K553" s="19">
        <f>[1]TOBEPAID!K411/1000</f>
        <v>0</v>
      </c>
      <c r="L553" s="19">
        <f>[1]TOBEPAID!L411/1000</f>
        <v>0</v>
      </c>
      <c r="M553" s="19">
        <f>[1]TOBEPAID!M411/1000</f>
        <v>0</v>
      </c>
      <c r="N553" s="19">
        <f>[1]TOBEPAID!N411/1000</f>
        <v>2083.5230000000001</v>
      </c>
      <c r="O553" s="19">
        <f>[1]TOBEPAID!O411/1000</f>
        <v>0</v>
      </c>
      <c r="P553" s="19">
        <f>[1]TOBEPAID!P411/1000</f>
        <v>0</v>
      </c>
      <c r="Q553" s="19">
        <f>[1]TOBEPAID!Q411/1000</f>
        <v>0</v>
      </c>
      <c r="R553" s="19">
        <v>0</v>
      </c>
      <c r="S553" s="19">
        <f>[1]TOBEPAID!S411/1000</f>
        <v>0</v>
      </c>
      <c r="T553" s="19">
        <f>[1]TOBEPAID!T411/1000</f>
        <v>0</v>
      </c>
      <c r="U553" s="19">
        <f>[1]TOBEPAID!U411/1000</f>
        <v>0</v>
      </c>
      <c r="V553" s="19">
        <f>[1]TOBEPAID!V411/1000</f>
        <v>0</v>
      </c>
      <c r="W553" s="19">
        <f>[1]TOBEPAID!W411/1000</f>
        <v>0</v>
      </c>
      <c r="X553" s="19">
        <f>[1]TOBEPAID!X411/1000</f>
        <v>0</v>
      </c>
      <c r="Y553" s="19">
        <f t="shared" si="97"/>
        <v>2083.5230000000001</v>
      </c>
      <c r="Z553" s="19">
        <f t="shared" si="98"/>
        <v>0</v>
      </c>
      <c r="AA553" s="19">
        <f>[1]TOBEPAID!AA411/1000</f>
        <v>2083.5230000000001</v>
      </c>
      <c r="AB553" s="19">
        <f>[1]TOBEPAID!AB411/1000</f>
        <v>0</v>
      </c>
      <c r="AC553" s="19"/>
      <c r="AD553" s="19"/>
    </row>
    <row r="554" spans="1:30" x14ac:dyDescent="0.2">
      <c r="A554" s="18"/>
      <c r="C554" s="3" t="s">
        <v>220</v>
      </c>
      <c r="D554" s="19">
        <f>1796506.06/1000</f>
        <v>1796.5060600000002</v>
      </c>
      <c r="E554" s="19"/>
      <c r="F554" s="19"/>
      <c r="G554" s="19"/>
      <c r="H554" s="19">
        <f>1796506.06/1000</f>
        <v>1796.5060600000002</v>
      </c>
      <c r="I554" s="19"/>
      <c r="J554" s="19"/>
      <c r="K554" s="19"/>
      <c r="L554" s="19"/>
      <c r="M554" s="19"/>
      <c r="N554" s="19"/>
      <c r="O554" s="19"/>
      <c r="P554" s="19"/>
      <c r="Q554" s="19"/>
      <c r="R554" s="19">
        <v>0</v>
      </c>
      <c r="S554" s="19"/>
      <c r="T554" s="19"/>
      <c r="U554" s="19"/>
      <c r="V554" s="19"/>
      <c r="W554" s="19"/>
      <c r="X554" s="19"/>
      <c r="Y554" s="19">
        <f>+H554+R554</f>
        <v>1796.5060600000002</v>
      </c>
      <c r="Z554" s="19">
        <f t="shared" si="98"/>
        <v>0</v>
      </c>
      <c r="AA554" s="19"/>
      <c r="AB554" s="19"/>
      <c r="AC554" s="19"/>
      <c r="AD554" s="19"/>
    </row>
    <row r="555" spans="1:30" x14ac:dyDescent="0.2">
      <c r="A555" s="18"/>
      <c r="C555" s="3" t="s">
        <v>67</v>
      </c>
      <c r="D555" s="19">
        <f>375000000/1000</f>
        <v>375000</v>
      </c>
      <c r="E555" s="19"/>
      <c r="F555" s="19"/>
      <c r="G555" s="19"/>
      <c r="H555" s="19">
        <f>375000000/1000</f>
        <v>375000</v>
      </c>
      <c r="I555" s="19"/>
      <c r="J555" s="19"/>
      <c r="K555" s="19"/>
      <c r="L555" s="19"/>
      <c r="M555" s="19"/>
      <c r="N555" s="19"/>
      <c r="O555" s="19"/>
      <c r="P555" s="19"/>
      <c r="Q555" s="19"/>
      <c r="R555" s="19">
        <v>0</v>
      </c>
      <c r="S555" s="19"/>
      <c r="T555" s="19"/>
      <c r="U555" s="19"/>
      <c r="V555" s="19"/>
      <c r="W555" s="19"/>
      <c r="X555" s="19"/>
      <c r="Y555" s="19">
        <f t="shared" si="97"/>
        <v>375000</v>
      </c>
      <c r="Z555" s="19">
        <f t="shared" si="98"/>
        <v>0</v>
      </c>
      <c r="AA555" s="19"/>
      <c r="AB555" s="19"/>
      <c r="AC555" s="19"/>
      <c r="AD555" s="19"/>
    </row>
    <row r="556" spans="1:30" x14ac:dyDescent="0.2">
      <c r="A556" s="18"/>
      <c r="C556" s="3" t="s">
        <v>77</v>
      </c>
      <c r="D556" s="3">
        <f>12000000/1000</f>
        <v>12000</v>
      </c>
      <c r="H556" s="3">
        <f>12000000/1000</f>
        <v>12000</v>
      </c>
      <c r="R556" s="3">
        <v>0</v>
      </c>
      <c r="Y556" s="3">
        <f t="shared" si="97"/>
        <v>12000</v>
      </c>
      <c r="Z556" s="3">
        <f t="shared" si="98"/>
        <v>0</v>
      </c>
      <c r="AA556" s="19"/>
      <c r="AB556" s="19"/>
      <c r="AC556" s="19"/>
      <c r="AD556" s="19"/>
    </row>
    <row r="557" spans="1:30" x14ac:dyDescent="0.2">
      <c r="A557" s="18"/>
      <c r="C557" s="3" t="s">
        <v>65</v>
      </c>
      <c r="D557" s="3">
        <f>8125000/1000</f>
        <v>8125</v>
      </c>
      <c r="H557" s="3">
        <f>8125000/1000</f>
        <v>8125</v>
      </c>
      <c r="R557" s="3">
        <v>0</v>
      </c>
      <c r="Y557" s="3">
        <f t="shared" si="97"/>
        <v>8125</v>
      </c>
      <c r="Z557" s="3">
        <f t="shared" si="98"/>
        <v>0</v>
      </c>
      <c r="AA557" s="19"/>
      <c r="AB557" s="19"/>
      <c r="AC557" s="19"/>
      <c r="AD557" s="19"/>
    </row>
    <row r="558" spans="1:30" x14ac:dyDescent="0.2">
      <c r="A558" s="18"/>
      <c r="C558" s="3" t="s">
        <v>55</v>
      </c>
      <c r="D558" s="19">
        <f>1533021/1000</f>
        <v>1533.021</v>
      </c>
      <c r="E558" s="19">
        <f>[1]TOBEPAID!E412/1000</f>
        <v>0</v>
      </c>
      <c r="F558" s="19">
        <f>[1]TOBEPAID!F412/1000</f>
        <v>0</v>
      </c>
      <c r="G558" s="19">
        <f>[1]TOBEPAID!G412/1000</f>
        <v>0</v>
      </c>
      <c r="H558" s="19">
        <v>0</v>
      </c>
      <c r="I558" s="19">
        <f>[1]TOBEPAID!I412/1000</f>
        <v>0</v>
      </c>
      <c r="J558" s="19">
        <f>[1]TOBEPAID!J412/1000</f>
        <v>0</v>
      </c>
      <c r="K558" s="19">
        <f>[1]TOBEPAID!K412/1000</f>
        <v>0</v>
      </c>
      <c r="L558" s="19">
        <f>[1]TOBEPAID!L412/1000</f>
        <v>0</v>
      </c>
      <c r="M558" s="19">
        <f>[1]TOBEPAID!M412/1000</f>
        <v>0</v>
      </c>
      <c r="N558" s="19">
        <f>[1]TOBEPAID!N412/1000</f>
        <v>0</v>
      </c>
      <c r="O558" s="19">
        <f>[1]TOBEPAID!O412/1000</f>
        <v>0</v>
      </c>
      <c r="P558" s="19">
        <f>[1]TOBEPAID!P412/1000</f>
        <v>0</v>
      </c>
      <c r="Q558" s="19">
        <f>[1]TOBEPAID!Q412/1000</f>
        <v>0</v>
      </c>
      <c r="R558" s="19">
        <v>0</v>
      </c>
      <c r="S558" s="19">
        <f>[1]TOBEPAID!S412/1000</f>
        <v>0</v>
      </c>
      <c r="T558" s="19">
        <f>[1]TOBEPAID!T412/1000</f>
        <v>0</v>
      </c>
      <c r="U558" s="19">
        <f>[1]TOBEPAID!U412/1000</f>
        <v>0</v>
      </c>
      <c r="V558" s="19">
        <f>[1]TOBEPAID!V412/1000</f>
        <v>0</v>
      </c>
      <c r="W558" s="19">
        <f>[1]TOBEPAID!W412/1000</f>
        <v>0</v>
      </c>
      <c r="X558" s="19">
        <f>[1]TOBEPAID!X412/1000</f>
        <v>0</v>
      </c>
      <c r="Y558" s="19">
        <f t="shared" si="97"/>
        <v>0</v>
      </c>
      <c r="Z558" s="19">
        <f t="shared" si="98"/>
        <v>1533.021</v>
      </c>
      <c r="AA558" s="19">
        <f>[1]TOBEPAID!AA412/1000</f>
        <v>0</v>
      </c>
      <c r="AB558" s="19">
        <f>[1]TOBEPAID!AB412/1000</f>
        <v>1533.0215800000001</v>
      </c>
      <c r="AC558" s="19"/>
      <c r="AD558" s="19"/>
    </row>
    <row r="559" spans="1:30" x14ac:dyDescent="0.2">
      <c r="A559" s="18"/>
      <c r="C559" s="3" t="str">
        <f>+C106</f>
        <v>EL-CONCESSIONAL</v>
      </c>
      <c r="D559" s="19">
        <v>0</v>
      </c>
      <c r="E559" s="19">
        <f>[1]TOBEPAID!E413/1000</f>
        <v>0</v>
      </c>
      <c r="F559" s="19">
        <f>[1]TOBEPAID!F413/1000</f>
        <v>0</v>
      </c>
      <c r="G559" s="19">
        <f>[1]TOBEPAID!G413/1000</f>
        <v>0</v>
      </c>
      <c r="H559" s="19">
        <v>0</v>
      </c>
      <c r="I559" s="19">
        <f>[1]TOBEPAID!I413/1000</f>
        <v>0</v>
      </c>
      <c r="J559" s="19">
        <f>[1]TOBEPAID!J413/1000</f>
        <v>0</v>
      </c>
      <c r="K559" s="19">
        <f>[1]TOBEPAID!K413/1000</f>
        <v>0</v>
      </c>
      <c r="L559" s="19">
        <f>[1]TOBEPAID!L413/1000</f>
        <v>0</v>
      </c>
      <c r="M559" s="19">
        <f>[1]TOBEPAID!M413/1000</f>
        <v>0</v>
      </c>
      <c r="N559" s="19">
        <f>[1]TOBEPAID!N413/1000</f>
        <v>0</v>
      </c>
      <c r="O559" s="19">
        <f>[1]TOBEPAID!O413/1000</f>
        <v>0</v>
      </c>
      <c r="P559" s="19">
        <f>[1]TOBEPAID!P413/1000</f>
        <v>0</v>
      </c>
      <c r="Q559" s="19">
        <f>[1]TOBEPAID!Q413/1000</f>
        <v>0</v>
      </c>
      <c r="R559" s="19">
        <v>0</v>
      </c>
      <c r="S559" s="19">
        <f>[1]TOBEPAID!S413/1000</f>
        <v>0</v>
      </c>
      <c r="T559" s="19">
        <f>[1]TOBEPAID!T413/1000</f>
        <v>0</v>
      </c>
      <c r="U559" s="19">
        <f>[1]TOBEPAID!U413/1000</f>
        <v>0</v>
      </c>
      <c r="V559" s="19">
        <f>[1]TOBEPAID!V413/1000</f>
        <v>0</v>
      </c>
      <c r="W559" s="19">
        <f>[1]TOBEPAID!W413/1000</f>
        <v>0</v>
      </c>
      <c r="X559" s="19">
        <f>[1]TOBEPAID!X413/1000</f>
        <v>0</v>
      </c>
      <c r="Y559" s="19">
        <f t="shared" si="97"/>
        <v>0</v>
      </c>
      <c r="Z559" s="19">
        <f t="shared" si="98"/>
        <v>0</v>
      </c>
      <c r="AA559" s="19">
        <f>[1]TOBEPAID!AA413/1000</f>
        <v>0</v>
      </c>
      <c r="AB559" s="19">
        <f>[1]TOBEPAID!AB413/1000</f>
        <v>0.20150000000000001</v>
      </c>
      <c r="AC559" s="19"/>
      <c r="AD559" s="19"/>
    </row>
    <row r="560" spans="1:30" x14ac:dyDescent="0.2">
      <c r="A560" s="18"/>
      <c r="D560" s="21" t="s">
        <v>57</v>
      </c>
      <c r="E560" s="21" t="s">
        <v>57</v>
      </c>
      <c r="F560" s="21" t="s">
        <v>57</v>
      </c>
      <c r="G560" s="21"/>
      <c r="H560" s="21" t="s">
        <v>57</v>
      </c>
      <c r="I560" s="21" t="s">
        <v>57</v>
      </c>
      <c r="J560" s="21" t="s">
        <v>57</v>
      </c>
      <c r="K560" s="21" t="s">
        <v>57</v>
      </c>
      <c r="L560" s="21" t="s">
        <v>57</v>
      </c>
      <c r="M560" s="21"/>
      <c r="N560" s="21" t="s">
        <v>57</v>
      </c>
      <c r="O560" s="21" t="s">
        <v>57</v>
      </c>
      <c r="P560" s="21" t="s">
        <v>57</v>
      </c>
      <c r="Q560" s="21"/>
      <c r="R560" s="21" t="s">
        <v>57</v>
      </c>
      <c r="S560" s="21" t="s">
        <v>57</v>
      </c>
      <c r="T560" s="21" t="s">
        <v>57</v>
      </c>
      <c r="U560" s="21" t="s">
        <v>57</v>
      </c>
      <c r="V560" s="21" t="s">
        <v>57</v>
      </c>
      <c r="W560" s="21"/>
      <c r="X560" s="21" t="s">
        <v>57</v>
      </c>
      <c r="Y560" s="21" t="s">
        <v>57</v>
      </c>
      <c r="Z560" s="21" t="s">
        <v>57</v>
      </c>
      <c r="AA560" s="21" t="s">
        <v>57</v>
      </c>
      <c r="AB560" s="21" t="s">
        <v>57</v>
      </c>
      <c r="AC560" s="21"/>
      <c r="AD560" s="21"/>
    </row>
    <row r="561" spans="1:30" x14ac:dyDescent="0.2">
      <c r="A561" s="18"/>
      <c r="D561" s="35">
        <f>SUM(D552:D559)</f>
        <v>451141.92405999999</v>
      </c>
      <c r="E561" s="35">
        <f>SUM(E552:E559)</f>
        <v>2083.5230000000001</v>
      </c>
      <c r="F561" s="35">
        <f>SUM(F552:F559)</f>
        <v>0</v>
      </c>
      <c r="G561" s="35"/>
      <c r="H561" s="35">
        <f>SUM(H552:H559)</f>
        <v>438070.45105999999</v>
      </c>
      <c r="I561" s="35">
        <f>SUM(I552:I559)</f>
        <v>0</v>
      </c>
      <c r="J561" s="35">
        <f>SUM(J552:J559)</f>
        <v>0</v>
      </c>
      <c r="K561" s="35">
        <f>SUM(K552:K559)</f>
        <v>0</v>
      </c>
      <c r="L561" s="35">
        <f>SUM(L552:L559)</f>
        <v>0</v>
      </c>
      <c r="M561" s="35"/>
      <c r="N561" s="35">
        <f>SUM(N552:N559)</f>
        <v>2083.5230000000001</v>
      </c>
      <c r="O561" s="35">
        <f>SUM(O552:O559)</f>
        <v>0</v>
      </c>
      <c r="P561" s="35">
        <f>SUM(P552:P559)</f>
        <v>0</v>
      </c>
      <c r="Q561" s="35"/>
      <c r="R561" s="35">
        <f>SUM(R552:R559)</f>
        <v>0</v>
      </c>
      <c r="S561" s="35">
        <f>SUM(S552:S559)</f>
        <v>0</v>
      </c>
      <c r="T561" s="35">
        <f>SUM(T552:T559)</f>
        <v>0</v>
      </c>
      <c r="U561" s="35">
        <f>SUM(U552:U559)</f>
        <v>0</v>
      </c>
      <c r="V561" s="35">
        <f>SUM(V552:V559)</f>
        <v>0</v>
      </c>
      <c r="W561" s="35"/>
      <c r="X561" s="35">
        <f>SUM(X552:X559)</f>
        <v>0</v>
      </c>
      <c r="Y561" s="35">
        <f>SUM(Y552:Y559)</f>
        <v>438070.45105999999</v>
      </c>
      <c r="Z561" s="35">
        <f>SUM(Z552:Z559)</f>
        <v>13071.473000000005</v>
      </c>
      <c r="AA561" s="35">
        <f>SUM(AA552:AA559)</f>
        <v>2083.5230000000001</v>
      </c>
      <c r="AB561" s="35">
        <f>SUM(AB552:AB559)</f>
        <v>52137.097120000006</v>
      </c>
      <c r="AC561" s="35"/>
      <c r="AD561" s="35"/>
    </row>
    <row r="562" spans="1:30" x14ac:dyDescent="0.2">
      <c r="A562" s="18"/>
      <c r="D562" s="21" t="s">
        <v>57</v>
      </c>
      <c r="E562" s="21" t="s">
        <v>57</v>
      </c>
      <c r="F562" s="21" t="s">
        <v>57</v>
      </c>
      <c r="G562" s="21"/>
      <c r="H562" s="21" t="s">
        <v>57</v>
      </c>
      <c r="I562" s="21" t="s">
        <v>57</v>
      </c>
      <c r="J562" s="21" t="s">
        <v>57</v>
      </c>
      <c r="K562" s="21" t="s">
        <v>57</v>
      </c>
      <c r="L562" s="21" t="s">
        <v>57</v>
      </c>
      <c r="M562" s="21"/>
      <c r="N562" s="21" t="s">
        <v>57</v>
      </c>
      <c r="O562" s="21" t="s">
        <v>57</v>
      </c>
      <c r="P562" s="21" t="s">
        <v>57</v>
      </c>
      <c r="Q562" s="21"/>
      <c r="R562" s="21" t="s">
        <v>57</v>
      </c>
      <c r="S562" s="21" t="s">
        <v>57</v>
      </c>
      <c r="T562" s="21" t="s">
        <v>57</v>
      </c>
      <c r="U562" s="21" t="s">
        <v>57</v>
      </c>
      <c r="V562" s="21" t="s">
        <v>57</v>
      </c>
      <c r="W562" s="21"/>
      <c r="X562" s="21" t="s">
        <v>57</v>
      </c>
      <c r="Y562" s="21" t="s">
        <v>57</v>
      </c>
      <c r="Z562" s="21" t="s">
        <v>57</v>
      </c>
      <c r="AA562" s="21" t="s">
        <v>57</v>
      </c>
      <c r="AB562" s="21" t="s">
        <v>57</v>
      </c>
      <c r="AC562" s="21"/>
      <c r="AD562" s="21"/>
    </row>
    <row r="563" spans="1:30" x14ac:dyDescent="0.2">
      <c r="A563" s="18"/>
      <c r="D563" s="35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</row>
    <row r="564" spans="1:30" x14ac:dyDescent="0.2">
      <c r="A564" s="18">
        <v>40</v>
      </c>
      <c r="B564" s="3" t="s">
        <v>221</v>
      </c>
      <c r="C564" s="3" t="s">
        <v>87</v>
      </c>
      <c r="D564" s="19">
        <f>39352813/1000</f>
        <v>39352.813000000002</v>
      </c>
      <c r="E564" s="19">
        <f>[1]TOBEPAID!E418/1000</f>
        <v>0</v>
      </c>
      <c r="F564" s="19">
        <f>[1]TOBEPAID!F418/1000</f>
        <v>0</v>
      </c>
      <c r="G564" s="19">
        <f>[1]TOBEPAID!G418/1000</f>
        <v>0</v>
      </c>
      <c r="H564" s="19">
        <f>39352813/1000</f>
        <v>39352.813000000002</v>
      </c>
      <c r="I564" s="19">
        <f>[1]TOBEPAID!I418/1000</f>
        <v>0</v>
      </c>
      <c r="J564" s="19">
        <f>[1]TOBEPAID!J418/1000</f>
        <v>0</v>
      </c>
      <c r="K564" s="19">
        <f>[1]TOBEPAID!K418/1000</f>
        <v>0</v>
      </c>
      <c r="L564" s="19">
        <f>[1]TOBEPAID!L418/1000</f>
        <v>0</v>
      </c>
      <c r="M564" s="19">
        <f>[1]TOBEPAID!M418/1000</f>
        <v>0</v>
      </c>
      <c r="N564" s="19">
        <f>[1]TOBEPAID!N418/1000</f>
        <v>0</v>
      </c>
      <c r="O564" s="19">
        <f>[1]TOBEPAID!O418/1000</f>
        <v>0</v>
      </c>
      <c r="P564" s="19">
        <f>[1]TOBEPAID!P418/1000</f>
        <v>0</v>
      </c>
      <c r="Q564" s="19">
        <f>[1]TOBEPAID!Q418/1000</f>
        <v>0</v>
      </c>
      <c r="R564" s="19">
        <v>0</v>
      </c>
      <c r="S564" s="19">
        <f>[1]TOBEPAID!S418/1000</f>
        <v>0</v>
      </c>
      <c r="T564" s="19">
        <f>[1]TOBEPAID!T418/1000</f>
        <v>0</v>
      </c>
      <c r="U564" s="19">
        <f>[1]TOBEPAID!U418/1000</f>
        <v>0</v>
      </c>
      <c r="V564" s="19">
        <f>[1]TOBEPAID!V418/1000</f>
        <v>0</v>
      </c>
      <c r="W564" s="19">
        <f>[1]TOBEPAID!W418/1000</f>
        <v>0</v>
      </c>
      <c r="X564" s="19">
        <f>[1]TOBEPAID!X418/1000</f>
        <v>0</v>
      </c>
      <c r="Y564" s="19">
        <f t="shared" ref="Y564:Y573" si="99">+H564+R564</f>
        <v>39352.813000000002</v>
      </c>
      <c r="Z564" s="19">
        <f>+D564-Y564</f>
        <v>0</v>
      </c>
      <c r="AA564" s="19">
        <f>[1]TOBEPAID!AA418/1000</f>
        <v>0</v>
      </c>
      <c r="AB564" s="19">
        <f>[1]TOBEPAID!AB418/1000</f>
        <v>5571.1577400000006</v>
      </c>
      <c r="AC564" s="19"/>
      <c r="AD564" s="19"/>
    </row>
    <row r="565" spans="1:30" x14ac:dyDescent="0.2">
      <c r="A565" s="18"/>
      <c r="C565" s="3" t="s">
        <v>210</v>
      </c>
      <c r="D565" s="19">
        <f>1630000/1000</f>
        <v>1630</v>
      </c>
      <c r="E565" s="19"/>
      <c r="F565" s="19"/>
      <c r="G565" s="19"/>
      <c r="H565" s="19">
        <f>1630000/1000</f>
        <v>1630</v>
      </c>
      <c r="I565" s="19"/>
      <c r="J565" s="19"/>
      <c r="K565" s="19"/>
      <c r="L565" s="19"/>
      <c r="M565" s="19"/>
      <c r="N565" s="19"/>
      <c r="O565" s="19"/>
      <c r="P565" s="19"/>
      <c r="Q565" s="19"/>
      <c r="R565" s="19">
        <v>0</v>
      </c>
      <c r="S565" s="19"/>
      <c r="T565" s="19"/>
      <c r="U565" s="19"/>
      <c r="V565" s="19"/>
      <c r="W565" s="19"/>
      <c r="X565" s="19"/>
      <c r="Y565" s="19">
        <f>+H565+R565</f>
        <v>1630</v>
      </c>
      <c r="Z565" s="19">
        <v>0</v>
      </c>
      <c r="AA565" s="19"/>
      <c r="AB565" s="19"/>
      <c r="AC565" s="19"/>
      <c r="AD565" s="19"/>
    </row>
    <row r="566" spans="1:30" x14ac:dyDescent="0.2">
      <c r="A566" s="18"/>
      <c r="C566" s="3" t="s">
        <v>77</v>
      </c>
      <c r="D566" s="19">
        <f>7994781.77/1000</f>
        <v>7994.7817699999996</v>
      </c>
      <c r="E566" s="19"/>
      <c r="F566" s="19"/>
      <c r="G566" s="19"/>
      <c r="H566" s="19">
        <f>7994781/1000</f>
        <v>7994.7809999999999</v>
      </c>
      <c r="I566" s="19"/>
      <c r="J566" s="19"/>
      <c r="K566" s="19"/>
      <c r="L566" s="19"/>
      <c r="M566" s="19"/>
      <c r="N566" s="19"/>
      <c r="O566" s="19"/>
      <c r="P566" s="19"/>
      <c r="Q566" s="19"/>
      <c r="R566" s="19">
        <v>0</v>
      </c>
      <c r="S566" s="19"/>
      <c r="T566" s="19"/>
      <c r="U566" s="19"/>
      <c r="V566" s="19"/>
      <c r="W566" s="19"/>
      <c r="X566" s="19"/>
      <c r="Y566" s="19">
        <f>+H566+R566</f>
        <v>7994.7809999999999</v>
      </c>
      <c r="Z566" s="19">
        <f t="shared" ref="Z566:Z573" si="100">+D566-Y566</f>
        <v>7.6999999964755261E-4</v>
      </c>
      <c r="AA566" s="19"/>
      <c r="AB566" s="19"/>
      <c r="AC566" s="19"/>
      <c r="AD566" s="19"/>
    </row>
    <row r="567" spans="1:30" x14ac:dyDescent="0.2">
      <c r="A567" s="18"/>
      <c r="C567" s="3" t="s">
        <v>77</v>
      </c>
      <c r="D567" s="19">
        <f>3250000/1000</f>
        <v>3250</v>
      </c>
      <c r="E567" s="19"/>
      <c r="F567" s="19"/>
      <c r="G567" s="19"/>
      <c r="H567" s="19">
        <f>3250000/1000</f>
        <v>3250</v>
      </c>
      <c r="I567" s="19"/>
      <c r="J567" s="19"/>
      <c r="K567" s="19"/>
      <c r="L567" s="19"/>
      <c r="M567" s="19"/>
      <c r="N567" s="19"/>
      <c r="O567" s="19"/>
      <c r="P567" s="19"/>
      <c r="Q567" s="19"/>
      <c r="R567" s="19">
        <v>0</v>
      </c>
      <c r="S567" s="19"/>
      <c r="T567" s="19"/>
      <c r="U567" s="19"/>
      <c r="V567" s="19"/>
      <c r="W567" s="19"/>
      <c r="X567" s="19"/>
      <c r="Y567" s="19">
        <f>+H567+R567</f>
        <v>3250</v>
      </c>
      <c r="Z567" s="19">
        <f t="shared" si="100"/>
        <v>0</v>
      </c>
      <c r="AA567" s="19"/>
      <c r="AB567" s="19"/>
      <c r="AC567" s="19"/>
      <c r="AD567" s="19"/>
    </row>
    <row r="568" spans="1:30" x14ac:dyDescent="0.2">
      <c r="A568" s="18"/>
      <c r="C568" s="3" t="s">
        <v>128</v>
      </c>
      <c r="D568" s="19">
        <f>(8524249.76+8700000)/1000</f>
        <v>17224.249759999999</v>
      </c>
      <c r="E568" s="19"/>
      <c r="F568" s="19"/>
      <c r="G568" s="19"/>
      <c r="H568" s="19">
        <f>D568</f>
        <v>17224.249759999999</v>
      </c>
      <c r="I568" s="19"/>
      <c r="J568" s="19"/>
      <c r="K568" s="19"/>
      <c r="L568" s="19"/>
      <c r="M568" s="19"/>
      <c r="N568" s="19"/>
      <c r="O568" s="19"/>
      <c r="P568" s="19"/>
      <c r="Q568" s="19"/>
      <c r="R568" s="19">
        <v>0</v>
      </c>
      <c r="S568" s="19"/>
      <c r="T568" s="19"/>
      <c r="U568" s="19"/>
      <c r="V568" s="19"/>
      <c r="W568" s="19"/>
      <c r="X568" s="19"/>
      <c r="Y568" s="19">
        <f>+H568+R568</f>
        <v>17224.249759999999</v>
      </c>
      <c r="Z568" s="19">
        <f>+H568-Y568</f>
        <v>0</v>
      </c>
      <c r="AA568" s="19"/>
      <c r="AB568" s="19"/>
      <c r="AC568" s="19"/>
      <c r="AD568" s="19"/>
    </row>
    <row r="569" spans="1:30" x14ac:dyDescent="0.2">
      <c r="C569" s="3" t="s">
        <v>78</v>
      </c>
      <c r="D569" s="19">
        <f>5079268/1000</f>
        <v>5079.268</v>
      </c>
      <c r="E569" s="19">
        <f>[1]TOBEPAID!E419/1000</f>
        <v>5079.268</v>
      </c>
      <c r="F569" s="19">
        <f>[1]TOBEPAID!F419/1000</f>
        <v>0</v>
      </c>
      <c r="G569" s="19">
        <f>[1]TOBEPAID!G419/1000</f>
        <v>0</v>
      </c>
      <c r="H569" s="19">
        <f>5079268/1000</f>
        <v>5079.268</v>
      </c>
      <c r="I569" s="19">
        <f>[1]TOBEPAID!I419/1000</f>
        <v>0</v>
      </c>
      <c r="J569" s="19">
        <f>[1]TOBEPAID!J419/1000</f>
        <v>0</v>
      </c>
      <c r="K569" s="19">
        <f>[1]TOBEPAID!K419/1000</f>
        <v>0</v>
      </c>
      <c r="L569" s="19">
        <f>[1]TOBEPAID!L419/1000</f>
        <v>0</v>
      </c>
      <c r="M569" s="19">
        <f>[1]TOBEPAID!M419/1000</f>
        <v>0</v>
      </c>
      <c r="N569" s="19">
        <f>[1]TOBEPAID!N419/1000</f>
        <v>5079.268</v>
      </c>
      <c r="O569" s="19">
        <f>[1]TOBEPAID!O419/1000</f>
        <v>0</v>
      </c>
      <c r="P569" s="19">
        <f>[1]TOBEPAID!P419/1000</f>
        <v>0</v>
      </c>
      <c r="Q569" s="19">
        <f>[1]TOBEPAID!Q419/1000</f>
        <v>0</v>
      </c>
      <c r="R569" s="19">
        <v>0</v>
      </c>
      <c r="S569" s="19">
        <f>[1]TOBEPAID!S419/1000</f>
        <v>0</v>
      </c>
      <c r="T569" s="19">
        <f>[1]TOBEPAID!T419/1000</f>
        <v>0</v>
      </c>
      <c r="U569" s="19">
        <f>[1]TOBEPAID!U419/1000</f>
        <v>0</v>
      </c>
      <c r="V569" s="19">
        <f>[1]TOBEPAID!V419/1000</f>
        <v>0</v>
      </c>
      <c r="W569" s="19">
        <f>[1]TOBEPAID!W419/1000</f>
        <v>0</v>
      </c>
      <c r="X569" s="19">
        <f>[1]TOBEPAID!X419/1000</f>
        <v>0</v>
      </c>
      <c r="Y569" s="19">
        <f t="shared" si="99"/>
        <v>5079.268</v>
      </c>
      <c r="Z569" s="19">
        <f t="shared" si="100"/>
        <v>0</v>
      </c>
      <c r="AA569" s="19">
        <f>[1]TOBEPAID!AA419/1000</f>
        <v>5079.268</v>
      </c>
      <c r="AB569" s="19">
        <f>[1]TOBEPAID!AB419/1000</f>
        <v>0</v>
      </c>
      <c r="AC569" s="19"/>
      <c r="AD569" s="19"/>
    </row>
    <row r="570" spans="1:30" x14ac:dyDescent="0.2">
      <c r="A570" s="18"/>
      <c r="C570" s="3" t="s">
        <v>55</v>
      </c>
      <c r="D570" s="19">
        <v>0</v>
      </c>
      <c r="E570" s="19">
        <f>[1]TOBEPAID!E420/1000</f>
        <v>0</v>
      </c>
      <c r="F570" s="19">
        <f>[1]TOBEPAID!F420/1000</f>
        <v>0</v>
      </c>
      <c r="G570" s="19">
        <f>[1]TOBEPAID!G420/1000</f>
        <v>0</v>
      </c>
      <c r="H570" s="19">
        <v>0</v>
      </c>
      <c r="I570" s="19">
        <f>[1]TOBEPAID!I420/1000</f>
        <v>0</v>
      </c>
      <c r="J570" s="19">
        <f>[1]TOBEPAID!J420/1000</f>
        <v>0</v>
      </c>
      <c r="K570" s="19">
        <f>[1]TOBEPAID!K420/1000</f>
        <v>0</v>
      </c>
      <c r="L570" s="19">
        <f>[1]TOBEPAID!L420/1000</f>
        <v>0</v>
      </c>
      <c r="M570" s="19">
        <f>[1]TOBEPAID!M420/1000</f>
        <v>0</v>
      </c>
      <c r="N570" s="19">
        <f>[1]TOBEPAID!N420/1000</f>
        <v>0</v>
      </c>
      <c r="O570" s="19">
        <f>[1]TOBEPAID!O420/1000</f>
        <v>0</v>
      </c>
      <c r="P570" s="19">
        <f>[1]TOBEPAID!P420/1000</f>
        <v>0</v>
      </c>
      <c r="Q570" s="19">
        <f>[1]TOBEPAID!Q420/1000</f>
        <v>0</v>
      </c>
      <c r="R570" s="19">
        <v>0</v>
      </c>
      <c r="S570" s="19">
        <f>[1]TOBEPAID!S420/1000</f>
        <v>0</v>
      </c>
      <c r="T570" s="19">
        <f>[1]TOBEPAID!T420/1000</f>
        <v>0</v>
      </c>
      <c r="U570" s="19">
        <f>[1]TOBEPAID!U420/1000</f>
        <v>0</v>
      </c>
      <c r="V570" s="19">
        <f>[1]TOBEPAID!V420/1000</f>
        <v>0</v>
      </c>
      <c r="W570" s="19">
        <f>[1]TOBEPAID!W420/1000</f>
        <v>0</v>
      </c>
      <c r="X570" s="19">
        <f>[1]TOBEPAID!X420/1000</f>
        <v>0</v>
      </c>
      <c r="Y570" s="19">
        <f t="shared" si="99"/>
        <v>0</v>
      </c>
      <c r="Z570" s="19">
        <f t="shared" si="100"/>
        <v>0</v>
      </c>
      <c r="AA570" s="19">
        <f>[1]TOBEPAID!AA420/1000</f>
        <v>0</v>
      </c>
      <c r="AB570" s="19">
        <f>[1]TOBEPAID!AB420/1000</f>
        <v>1598</v>
      </c>
      <c r="AC570" s="19"/>
      <c r="AD570" s="19"/>
    </row>
    <row r="571" spans="1:30" x14ac:dyDescent="0.2">
      <c r="A571" s="18"/>
      <c r="C571" s="3" t="s">
        <v>88</v>
      </c>
      <c r="D571" s="19">
        <v>0</v>
      </c>
      <c r="E571" s="19">
        <f>[1]TOBEPAID!E421/1000</f>
        <v>0</v>
      </c>
      <c r="F571" s="19">
        <f>[1]TOBEPAID!F421/1000</f>
        <v>0</v>
      </c>
      <c r="G571" s="19">
        <f>[1]TOBEPAID!G421/1000</f>
        <v>0</v>
      </c>
      <c r="H571" s="19">
        <v>0</v>
      </c>
      <c r="I571" s="19">
        <f>[1]TOBEPAID!I421/1000</f>
        <v>0</v>
      </c>
      <c r="J571" s="19">
        <f>[1]TOBEPAID!J421/1000</f>
        <v>0</v>
      </c>
      <c r="K571" s="19">
        <f>[1]TOBEPAID!K421/1000</f>
        <v>0</v>
      </c>
      <c r="L571" s="19">
        <f>[1]TOBEPAID!L421/1000</f>
        <v>0</v>
      </c>
      <c r="M571" s="19">
        <f>[1]TOBEPAID!M421/1000</f>
        <v>0</v>
      </c>
      <c r="N571" s="19">
        <f>[1]TOBEPAID!N421/1000</f>
        <v>0</v>
      </c>
      <c r="O571" s="19">
        <f>[1]TOBEPAID!O421/1000</f>
        <v>0</v>
      </c>
      <c r="P571" s="19">
        <f>[1]TOBEPAID!P421/1000</f>
        <v>0</v>
      </c>
      <c r="Q571" s="19">
        <f>[1]TOBEPAID!Q421/1000</f>
        <v>0</v>
      </c>
      <c r="R571" s="19">
        <v>0</v>
      </c>
      <c r="S571" s="19">
        <f>[1]TOBEPAID!S421/1000</f>
        <v>0</v>
      </c>
      <c r="T571" s="19">
        <f>[1]TOBEPAID!T421/1000</f>
        <v>0</v>
      </c>
      <c r="U571" s="19">
        <f>[1]TOBEPAID!U421/1000</f>
        <v>0</v>
      </c>
      <c r="V571" s="19">
        <f>[1]TOBEPAID!V421/1000</f>
        <v>0</v>
      </c>
      <c r="W571" s="19">
        <f>[1]TOBEPAID!W421/1000</f>
        <v>0</v>
      </c>
      <c r="X571" s="19">
        <f>[1]TOBEPAID!X421/1000</f>
        <v>0</v>
      </c>
      <c r="Y571" s="19">
        <f t="shared" si="99"/>
        <v>0</v>
      </c>
      <c r="Z571" s="19">
        <f t="shared" si="100"/>
        <v>0</v>
      </c>
      <c r="AA571" s="19">
        <f>[1]TOBEPAID!AA421/1000</f>
        <v>0</v>
      </c>
      <c r="AB571" s="19">
        <f>[1]TOBEPAID!AB421/1000</f>
        <v>3326.6654700000004</v>
      </c>
      <c r="AC571" s="19"/>
      <c r="AD571" s="19"/>
    </row>
    <row r="572" spans="1:30" x14ac:dyDescent="0.2">
      <c r="C572" s="3" t="s">
        <v>222</v>
      </c>
      <c r="D572" s="19">
        <f>8976293/1000</f>
        <v>8976.2929999999997</v>
      </c>
      <c r="E572" s="19">
        <f>[1]TOBEPAID!E422/1000</f>
        <v>8976.2938000000013</v>
      </c>
      <c r="F572" s="19">
        <f>[1]TOBEPAID!F422/1000</f>
        <v>0</v>
      </c>
      <c r="G572" s="19">
        <f>[1]TOBEPAID!G422/1000</f>
        <v>0</v>
      </c>
      <c r="H572" s="19">
        <f>8976293/1000</f>
        <v>8976.2929999999997</v>
      </c>
      <c r="I572" s="19">
        <f>[1]TOBEPAID!I422/1000</f>
        <v>0</v>
      </c>
      <c r="J572" s="19">
        <f>[1]TOBEPAID!J422/1000</f>
        <v>0</v>
      </c>
      <c r="K572" s="19">
        <f>[1]TOBEPAID!K422/1000</f>
        <v>0</v>
      </c>
      <c r="L572" s="19">
        <f>[1]TOBEPAID!L422/1000</f>
        <v>0</v>
      </c>
      <c r="M572" s="19">
        <f>[1]TOBEPAID!M422/1000</f>
        <v>0</v>
      </c>
      <c r="N572" s="19">
        <f>[1]TOBEPAID!N422/1000</f>
        <v>8976.2938000000013</v>
      </c>
      <c r="O572" s="19">
        <f>[1]TOBEPAID!O422/1000</f>
        <v>0</v>
      </c>
      <c r="P572" s="19">
        <f>[1]TOBEPAID!P422/1000</f>
        <v>0</v>
      </c>
      <c r="Q572" s="19">
        <f>[1]TOBEPAID!Q422/1000</f>
        <v>0</v>
      </c>
      <c r="R572" s="19">
        <v>0</v>
      </c>
      <c r="S572" s="19">
        <f>[1]TOBEPAID!S422/1000</f>
        <v>0</v>
      </c>
      <c r="T572" s="19">
        <f>[1]TOBEPAID!T422/1000</f>
        <v>0</v>
      </c>
      <c r="U572" s="19">
        <f>[1]TOBEPAID!U422/1000</f>
        <v>0</v>
      </c>
      <c r="V572" s="19">
        <f>[1]TOBEPAID!V422/1000</f>
        <v>0</v>
      </c>
      <c r="W572" s="19">
        <f>[1]TOBEPAID!W422/1000</f>
        <v>0</v>
      </c>
      <c r="X572" s="19">
        <f>[1]TOBEPAID!X422/1000</f>
        <v>0</v>
      </c>
      <c r="Y572" s="19">
        <f t="shared" si="99"/>
        <v>8976.2929999999997</v>
      </c>
      <c r="Z572" s="19">
        <f t="shared" si="100"/>
        <v>0</v>
      </c>
      <c r="AA572" s="19">
        <f>[1]TOBEPAID!AA422/1000</f>
        <v>8976.2938000000013</v>
      </c>
      <c r="AB572" s="19">
        <f>[1]TOBEPAID!AB422/1000</f>
        <v>0</v>
      </c>
      <c r="AC572" s="19"/>
      <c r="AD572" s="19"/>
    </row>
    <row r="573" spans="1:30" x14ac:dyDescent="0.2">
      <c r="A573" s="18"/>
      <c r="C573" s="3" t="s">
        <v>87</v>
      </c>
      <c r="D573" s="19">
        <v>0</v>
      </c>
      <c r="E573" s="19">
        <f>[1]TOBEPAID!E423/1000</f>
        <v>0</v>
      </c>
      <c r="F573" s="19">
        <f>[1]TOBEPAID!F423/1000</f>
        <v>0</v>
      </c>
      <c r="G573" s="19">
        <f>[1]TOBEPAID!G423/1000</f>
        <v>0</v>
      </c>
      <c r="H573" s="19">
        <v>0</v>
      </c>
      <c r="I573" s="19">
        <f>[1]TOBEPAID!I423/1000</f>
        <v>0</v>
      </c>
      <c r="J573" s="19">
        <f>[1]TOBEPAID!J423/1000</f>
        <v>0</v>
      </c>
      <c r="K573" s="19">
        <f>[1]TOBEPAID!K423/1000</f>
        <v>0</v>
      </c>
      <c r="L573" s="19">
        <f>[1]TOBEPAID!L423/1000</f>
        <v>0</v>
      </c>
      <c r="M573" s="19">
        <f>[1]TOBEPAID!M423/1000</f>
        <v>0</v>
      </c>
      <c r="N573" s="19">
        <f>[1]TOBEPAID!N423/1000</f>
        <v>0</v>
      </c>
      <c r="O573" s="19">
        <f>[1]TOBEPAID!O423/1000</f>
        <v>0</v>
      </c>
      <c r="P573" s="19">
        <f>[1]TOBEPAID!P423/1000</f>
        <v>0</v>
      </c>
      <c r="Q573" s="19">
        <f>[1]TOBEPAID!Q423/1000</f>
        <v>0</v>
      </c>
      <c r="R573" s="19">
        <v>0</v>
      </c>
      <c r="S573" s="19">
        <f>[1]TOBEPAID!S423/1000</f>
        <v>0</v>
      </c>
      <c r="T573" s="19">
        <f>[1]TOBEPAID!T423/1000</f>
        <v>0</v>
      </c>
      <c r="U573" s="19">
        <f>[1]TOBEPAID!U423/1000</f>
        <v>0</v>
      </c>
      <c r="V573" s="19">
        <f>[1]TOBEPAID!V423/1000</f>
        <v>0</v>
      </c>
      <c r="W573" s="19">
        <f>[1]TOBEPAID!W423/1000</f>
        <v>0</v>
      </c>
      <c r="X573" s="19">
        <f>[1]TOBEPAID!X423/1000</f>
        <v>0</v>
      </c>
      <c r="Y573" s="19">
        <f t="shared" si="99"/>
        <v>0</v>
      </c>
      <c r="Z573" s="19">
        <f t="shared" si="100"/>
        <v>0</v>
      </c>
      <c r="AA573" s="19">
        <f>[1]TOBEPAID!AA423/1000</f>
        <v>0</v>
      </c>
      <c r="AB573" s="19">
        <f>[1]TOBEPAID!AB423/1000</f>
        <v>28856.990229999999</v>
      </c>
      <c r="AC573" s="19"/>
      <c r="AD573" s="19"/>
    </row>
    <row r="574" spans="1:30" x14ac:dyDescent="0.2">
      <c r="A574" s="18"/>
      <c r="D574" s="21" t="s">
        <v>57</v>
      </c>
      <c r="E574" s="21" t="s">
        <v>57</v>
      </c>
      <c r="F574" s="21" t="s">
        <v>57</v>
      </c>
      <c r="G574" s="21"/>
      <c r="H574" s="21" t="s">
        <v>57</v>
      </c>
      <c r="I574" s="21" t="s">
        <v>57</v>
      </c>
      <c r="J574" s="21" t="s">
        <v>57</v>
      </c>
      <c r="K574" s="21" t="s">
        <v>57</v>
      </c>
      <c r="L574" s="21" t="s">
        <v>57</v>
      </c>
      <c r="M574" s="21"/>
      <c r="N574" s="21" t="s">
        <v>57</v>
      </c>
      <c r="O574" s="21" t="s">
        <v>57</v>
      </c>
      <c r="P574" s="21" t="s">
        <v>57</v>
      </c>
      <c r="Q574" s="21"/>
      <c r="R574" s="21" t="s">
        <v>57</v>
      </c>
      <c r="S574" s="21" t="s">
        <v>57</v>
      </c>
      <c r="T574" s="21" t="s">
        <v>57</v>
      </c>
      <c r="U574" s="21" t="s">
        <v>57</v>
      </c>
      <c r="V574" s="21" t="s">
        <v>57</v>
      </c>
      <c r="W574" s="21"/>
      <c r="X574" s="21" t="s">
        <v>57</v>
      </c>
      <c r="Y574" s="21" t="s">
        <v>57</v>
      </c>
      <c r="Z574" s="21" t="s">
        <v>57</v>
      </c>
      <c r="AA574" s="21" t="s">
        <v>57</v>
      </c>
      <c r="AB574" s="21" t="s">
        <v>57</v>
      </c>
      <c r="AC574" s="21"/>
      <c r="AD574" s="21"/>
    </row>
    <row r="575" spans="1:30" x14ac:dyDescent="0.2">
      <c r="A575" s="18"/>
      <c r="D575" s="35">
        <f>SUM(D564:D573)</f>
        <v>83507.405530000004</v>
      </c>
      <c r="E575" s="35">
        <f>SUM(E564:E573)</f>
        <v>14055.561800000001</v>
      </c>
      <c r="F575" s="35">
        <f>SUM(F564:F573)</f>
        <v>0</v>
      </c>
      <c r="G575" s="35"/>
      <c r="H575" s="35">
        <f>SUM(H564:H573)</f>
        <v>83507.404760000005</v>
      </c>
      <c r="I575" s="35">
        <f>SUM(I564:I573)</f>
        <v>0</v>
      </c>
      <c r="J575" s="35">
        <f>SUM(J564:J573)</f>
        <v>0</v>
      </c>
      <c r="K575" s="35">
        <f>SUM(K564:K573)</f>
        <v>0</v>
      </c>
      <c r="L575" s="35">
        <f>SUM(L564:L573)</f>
        <v>0</v>
      </c>
      <c r="M575" s="35"/>
      <c r="N575" s="35">
        <f>SUM(N564:N573)</f>
        <v>14055.561800000001</v>
      </c>
      <c r="O575" s="35">
        <f>SUM(O564:O573)</f>
        <v>0</v>
      </c>
      <c r="P575" s="35">
        <f>SUM(P564:P573)</f>
        <v>0</v>
      </c>
      <c r="Q575" s="35"/>
      <c r="R575" s="35">
        <f>SUM(R564:R573)</f>
        <v>0</v>
      </c>
      <c r="S575" s="35">
        <f>SUM(S564:S573)</f>
        <v>0</v>
      </c>
      <c r="T575" s="35">
        <f>SUM(T564:T573)</f>
        <v>0</v>
      </c>
      <c r="U575" s="35">
        <f>SUM(U564:U573)</f>
        <v>0</v>
      </c>
      <c r="V575" s="35">
        <f>SUM(V564:V573)</f>
        <v>0</v>
      </c>
      <c r="W575" s="35"/>
      <c r="X575" s="35">
        <f>SUM(X564:X573)</f>
        <v>0</v>
      </c>
      <c r="Y575" s="35">
        <f>SUM(Y564:Y573)</f>
        <v>83507.404760000005</v>
      </c>
      <c r="Z575" s="35">
        <f>SUM(Z564:Z573)</f>
        <v>7.6999999964755261E-4</v>
      </c>
      <c r="AA575" s="35">
        <f>SUM(AA564:AA573)</f>
        <v>14055.561800000001</v>
      </c>
      <c r="AB575" s="35">
        <f>SUM(AB564:AB573)</f>
        <v>39352.813439999998</v>
      </c>
      <c r="AC575" s="35"/>
      <c r="AD575" s="35"/>
    </row>
    <row r="576" spans="1:30" x14ac:dyDescent="0.2">
      <c r="A576" s="18"/>
      <c r="D576" s="21" t="s">
        <v>57</v>
      </c>
      <c r="E576" s="21" t="s">
        <v>57</v>
      </c>
      <c r="F576" s="21" t="s">
        <v>57</v>
      </c>
      <c r="G576" s="21"/>
      <c r="H576" s="21" t="s">
        <v>57</v>
      </c>
      <c r="I576" s="21" t="s">
        <v>57</v>
      </c>
      <c r="J576" s="21" t="s">
        <v>57</v>
      </c>
      <c r="K576" s="21" t="s">
        <v>57</v>
      </c>
      <c r="L576" s="21" t="s">
        <v>57</v>
      </c>
      <c r="M576" s="21"/>
      <c r="N576" s="21" t="s">
        <v>57</v>
      </c>
      <c r="O576" s="21" t="s">
        <v>57</v>
      </c>
      <c r="P576" s="21" t="s">
        <v>57</v>
      </c>
      <c r="Q576" s="21"/>
      <c r="R576" s="21" t="s">
        <v>57</v>
      </c>
      <c r="S576" s="21" t="s">
        <v>57</v>
      </c>
      <c r="T576" s="21" t="s">
        <v>57</v>
      </c>
      <c r="U576" s="21" t="s">
        <v>57</v>
      </c>
      <c r="V576" s="21" t="s">
        <v>57</v>
      </c>
      <c r="W576" s="21"/>
      <c r="X576" s="21" t="s">
        <v>57</v>
      </c>
      <c r="Y576" s="21" t="s">
        <v>57</v>
      </c>
      <c r="Z576" s="21" t="s">
        <v>57</v>
      </c>
      <c r="AA576" s="21" t="s">
        <v>57</v>
      </c>
      <c r="AB576" s="21" t="s">
        <v>57</v>
      </c>
      <c r="AC576" s="21"/>
      <c r="AD576" s="21"/>
    </row>
    <row r="577" spans="1:30" x14ac:dyDescent="0.2">
      <c r="A577" s="18"/>
      <c r="D577" s="21"/>
      <c r="E577" s="21"/>
      <c r="F577" s="42"/>
      <c r="G577" s="27"/>
      <c r="H577" s="27"/>
      <c r="I577" s="28"/>
      <c r="J577" s="28"/>
      <c r="K577" s="28"/>
      <c r="L577" s="27"/>
      <c r="M577" s="28"/>
      <c r="N577" s="28"/>
      <c r="O577" s="28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1:30" x14ac:dyDescent="0.2">
      <c r="A578" s="18">
        <v>41</v>
      </c>
      <c r="B578" s="3" t="s">
        <v>223</v>
      </c>
      <c r="C578" s="17" t="s">
        <v>51</v>
      </c>
      <c r="D578" s="19">
        <f>4037573/1000</f>
        <v>4037.5729999999999</v>
      </c>
      <c r="E578" s="19">
        <f>[1]TOBEPAID!E428/1000</f>
        <v>0</v>
      </c>
      <c r="F578" s="19">
        <f>[1]TOBEPAID!F428/1000</f>
        <v>0</v>
      </c>
      <c r="G578" s="19">
        <f>[1]TOBEPAID!G428/1000</f>
        <v>0</v>
      </c>
      <c r="H578" s="19">
        <f>4037573/1000</f>
        <v>4037.5729999999999</v>
      </c>
      <c r="I578" s="19">
        <f>[1]TOBEPAID!I428/1000</f>
        <v>0</v>
      </c>
      <c r="J578" s="19">
        <f>[1]TOBEPAID!J428/1000</f>
        <v>0</v>
      </c>
      <c r="K578" s="19">
        <f>[1]TOBEPAID!K428/1000</f>
        <v>0</v>
      </c>
      <c r="L578" s="19">
        <f>[1]TOBEPAID!L428/1000</f>
        <v>0</v>
      </c>
      <c r="M578" s="19">
        <f>[1]TOBEPAID!M428/1000</f>
        <v>0</v>
      </c>
      <c r="N578" s="19">
        <f>[1]TOBEPAID!N428/1000</f>
        <v>0</v>
      </c>
      <c r="O578" s="19">
        <f>[1]TOBEPAID!O428/1000</f>
        <v>0</v>
      </c>
      <c r="P578" s="19">
        <f>[1]TOBEPAID!P428/1000</f>
        <v>0</v>
      </c>
      <c r="Q578" s="19">
        <f>[1]TOBEPAID!Q428/1000</f>
        <v>0</v>
      </c>
      <c r="R578" s="19">
        <v>0</v>
      </c>
      <c r="S578" s="19">
        <f>[1]TOBEPAID!S428/1000</f>
        <v>0</v>
      </c>
      <c r="T578" s="19">
        <f>[1]TOBEPAID!T428/1000</f>
        <v>0</v>
      </c>
      <c r="U578" s="19">
        <f>[1]TOBEPAID!U428/1000</f>
        <v>0</v>
      </c>
      <c r="V578" s="19">
        <f>[1]TOBEPAID!V428/1000</f>
        <v>0</v>
      </c>
      <c r="W578" s="19">
        <f>[1]TOBEPAID!W428/1000</f>
        <v>0</v>
      </c>
      <c r="X578" s="19">
        <f>[1]TOBEPAID!X428/1000</f>
        <v>0</v>
      </c>
      <c r="Y578" s="19">
        <f t="shared" ref="Y578:Y584" si="101">+H578+R578</f>
        <v>4037.5729999999999</v>
      </c>
      <c r="Z578" s="19">
        <f t="shared" ref="Z578:Z584" si="102">+D578-Y578</f>
        <v>0</v>
      </c>
      <c r="AA578" s="19">
        <f>[1]TOBEPAID!AA428/1000</f>
        <v>0</v>
      </c>
      <c r="AB578" s="19">
        <f>[1]TOBEPAID!AB428/1000</f>
        <v>0</v>
      </c>
      <c r="AC578" s="19"/>
      <c r="AD578" s="19"/>
    </row>
    <row r="579" spans="1:30" x14ac:dyDescent="0.2">
      <c r="A579" s="18"/>
      <c r="C579" s="17" t="s">
        <v>106</v>
      </c>
      <c r="D579" s="19">
        <f>4285646/1000</f>
        <v>4285.6459999999997</v>
      </c>
      <c r="E579" s="19"/>
      <c r="F579" s="19"/>
      <c r="G579" s="19"/>
      <c r="H579" s="19">
        <f>4285646/1000</f>
        <v>4285.6459999999997</v>
      </c>
      <c r="I579" s="19"/>
      <c r="J579" s="19"/>
      <c r="K579" s="19"/>
      <c r="L579" s="19"/>
      <c r="M579" s="19"/>
      <c r="N579" s="19"/>
      <c r="O579" s="19"/>
      <c r="P579" s="19"/>
      <c r="Q579" s="19"/>
      <c r="R579" s="19">
        <v>0</v>
      </c>
      <c r="S579" s="19"/>
      <c r="T579" s="19"/>
      <c r="U579" s="19"/>
      <c r="V579" s="19"/>
      <c r="W579" s="19"/>
      <c r="X579" s="19"/>
      <c r="Y579" s="19">
        <f t="shared" si="101"/>
        <v>4285.6459999999997</v>
      </c>
      <c r="Z579" s="19">
        <f t="shared" si="102"/>
        <v>0</v>
      </c>
      <c r="AA579" s="19"/>
      <c r="AB579" s="19"/>
      <c r="AC579" s="19"/>
      <c r="AD579" s="19"/>
    </row>
    <row r="580" spans="1:30" x14ac:dyDescent="0.2">
      <c r="A580" s="18"/>
      <c r="C580" s="17" t="s">
        <v>106</v>
      </c>
      <c r="D580" s="19">
        <f>694808/1000</f>
        <v>694.80799999999999</v>
      </c>
      <c r="E580" s="19"/>
      <c r="F580" s="19"/>
      <c r="G580" s="19"/>
      <c r="H580" s="19">
        <f>694808/1000</f>
        <v>694.80799999999999</v>
      </c>
      <c r="I580" s="19"/>
      <c r="J580" s="19"/>
      <c r="K580" s="19"/>
      <c r="L580" s="19"/>
      <c r="M580" s="19"/>
      <c r="N580" s="19"/>
      <c r="O580" s="19"/>
      <c r="P580" s="19"/>
      <c r="Q580" s="19"/>
      <c r="R580" s="19">
        <v>0</v>
      </c>
      <c r="S580" s="19"/>
      <c r="T580" s="19"/>
      <c r="U580" s="19"/>
      <c r="V580" s="19"/>
      <c r="W580" s="19"/>
      <c r="X580" s="19"/>
      <c r="Y580" s="19">
        <f t="shared" si="101"/>
        <v>694.80799999999999</v>
      </c>
      <c r="Z580" s="19">
        <f t="shared" si="102"/>
        <v>0</v>
      </c>
      <c r="AA580" s="19"/>
      <c r="AB580" s="19"/>
      <c r="AC580" s="19"/>
      <c r="AD580" s="19"/>
    </row>
    <row r="581" spans="1:30" x14ac:dyDescent="0.2">
      <c r="A581" s="18"/>
      <c r="C581" s="17" t="s">
        <v>224</v>
      </c>
      <c r="D581" s="19">
        <f>516875/1000</f>
        <v>516.875</v>
      </c>
      <c r="E581" s="19"/>
      <c r="F581" s="19"/>
      <c r="G581" s="19"/>
      <c r="H581" s="19">
        <f>516875/1000</f>
        <v>516.875</v>
      </c>
      <c r="I581" s="19"/>
      <c r="J581" s="19"/>
      <c r="K581" s="19"/>
      <c r="L581" s="19"/>
      <c r="M581" s="19"/>
      <c r="N581" s="19"/>
      <c r="O581" s="19"/>
      <c r="P581" s="19"/>
      <c r="Q581" s="19"/>
      <c r="R581" s="19">
        <v>0</v>
      </c>
      <c r="S581" s="19"/>
      <c r="T581" s="19"/>
      <c r="U581" s="19"/>
      <c r="V581" s="19"/>
      <c r="W581" s="19"/>
      <c r="X581" s="19"/>
      <c r="Y581" s="19">
        <f t="shared" si="101"/>
        <v>516.875</v>
      </c>
      <c r="Z581" s="19">
        <f t="shared" si="102"/>
        <v>0</v>
      </c>
      <c r="AA581" s="19"/>
      <c r="AB581" s="19"/>
      <c r="AC581" s="19"/>
      <c r="AD581" s="19"/>
    </row>
    <row r="582" spans="1:30" x14ac:dyDescent="0.2">
      <c r="A582" s="18"/>
      <c r="C582" s="17" t="s">
        <v>64</v>
      </c>
      <c r="D582" s="19">
        <f>5349283/1000</f>
        <v>5349.2830000000004</v>
      </c>
      <c r="E582" s="19"/>
      <c r="F582" s="19"/>
      <c r="G582" s="19"/>
      <c r="H582" s="19">
        <f>5349283/1000</f>
        <v>5349.2830000000004</v>
      </c>
      <c r="I582" s="19"/>
      <c r="J582" s="19"/>
      <c r="K582" s="19"/>
      <c r="L582" s="19"/>
      <c r="M582" s="19"/>
      <c r="N582" s="19"/>
      <c r="O582" s="19"/>
      <c r="P582" s="19"/>
      <c r="Q582" s="19"/>
      <c r="R582" s="19">
        <v>0</v>
      </c>
      <c r="S582" s="19"/>
      <c r="T582" s="19"/>
      <c r="U582" s="19"/>
      <c r="V582" s="19"/>
      <c r="W582" s="19"/>
      <c r="X582" s="19"/>
      <c r="Y582" s="19">
        <f t="shared" si="101"/>
        <v>5349.2830000000004</v>
      </c>
      <c r="Z582" s="19">
        <f t="shared" si="102"/>
        <v>0</v>
      </c>
      <c r="AA582" s="19"/>
      <c r="AB582" s="19"/>
      <c r="AC582" s="19"/>
      <c r="AD582" s="19"/>
    </row>
    <row r="583" spans="1:30" x14ac:dyDescent="0.2">
      <c r="A583" s="18"/>
      <c r="C583" s="3" t="s">
        <v>79</v>
      </c>
      <c r="D583" s="19">
        <f>352839.93/1000</f>
        <v>352.83992999999998</v>
      </c>
      <c r="E583" s="19"/>
      <c r="F583" s="19"/>
      <c r="G583" s="19"/>
      <c r="H583" s="19">
        <f>352839.93/1000</f>
        <v>352.83992999999998</v>
      </c>
      <c r="I583" s="19"/>
      <c r="J583" s="19"/>
      <c r="K583" s="19"/>
      <c r="L583" s="19"/>
      <c r="M583" s="19"/>
      <c r="N583" s="19"/>
      <c r="O583" s="19"/>
      <c r="P583" s="19"/>
      <c r="Q583" s="19"/>
      <c r="R583" s="19">
        <v>0</v>
      </c>
      <c r="S583" s="19"/>
      <c r="T583" s="19"/>
      <c r="U583" s="19"/>
      <c r="V583" s="19"/>
      <c r="W583" s="19"/>
      <c r="X583" s="19"/>
      <c r="Y583" s="19">
        <f t="shared" si="101"/>
        <v>352.83992999999998</v>
      </c>
      <c r="Z583" s="19">
        <f t="shared" si="102"/>
        <v>0</v>
      </c>
      <c r="AA583" s="19"/>
      <c r="AB583" s="19"/>
      <c r="AC583" s="19"/>
      <c r="AD583" s="19"/>
    </row>
    <row r="584" spans="1:30" x14ac:dyDescent="0.2">
      <c r="A584" s="18"/>
      <c r="C584" s="3" t="s">
        <v>52</v>
      </c>
      <c r="D584" s="19">
        <f>488527/1000</f>
        <v>488.52699999999999</v>
      </c>
      <c r="E584" s="19">
        <f>[1]TOBEPAID!E429/1000</f>
        <v>488.52699999999999</v>
      </c>
      <c r="F584" s="19">
        <f>[1]TOBEPAID!F429/1000</f>
        <v>0</v>
      </c>
      <c r="G584" s="19">
        <f>[1]TOBEPAID!G429/1000</f>
        <v>0</v>
      </c>
      <c r="H584" s="19">
        <f>488527/1000</f>
        <v>488.52699999999999</v>
      </c>
      <c r="I584" s="19">
        <f>[1]TOBEPAID!I429/1000</f>
        <v>0</v>
      </c>
      <c r="J584" s="19">
        <f>[1]TOBEPAID!J429/1000</f>
        <v>0</v>
      </c>
      <c r="K584" s="19">
        <f>[1]TOBEPAID!K429/1000</f>
        <v>0</v>
      </c>
      <c r="L584" s="19">
        <f>[1]TOBEPAID!L429/1000</f>
        <v>0</v>
      </c>
      <c r="M584" s="19">
        <f>[1]TOBEPAID!M429/1000</f>
        <v>0</v>
      </c>
      <c r="N584" s="19">
        <f>[1]TOBEPAID!N429/1000</f>
        <v>488.52699999999999</v>
      </c>
      <c r="O584" s="19">
        <f>[1]TOBEPAID!O429/1000</f>
        <v>0</v>
      </c>
      <c r="P584" s="19">
        <f>[1]TOBEPAID!P429/1000</f>
        <v>0</v>
      </c>
      <c r="Q584" s="19">
        <f>[1]TOBEPAID!Q429/1000</f>
        <v>0</v>
      </c>
      <c r="R584" s="19">
        <v>0</v>
      </c>
      <c r="S584" s="19">
        <f>[1]TOBEPAID!S429/1000</f>
        <v>0</v>
      </c>
      <c r="T584" s="19">
        <f>[1]TOBEPAID!T429/1000</f>
        <v>0</v>
      </c>
      <c r="U584" s="19">
        <f>[1]TOBEPAID!U429/1000</f>
        <v>0</v>
      </c>
      <c r="V584" s="19">
        <f>[1]TOBEPAID!V429/1000</f>
        <v>0</v>
      </c>
      <c r="W584" s="19">
        <f>[1]TOBEPAID!W429/1000</f>
        <v>0</v>
      </c>
      <c r="X584" s="19">
        <f>[1]TOBEPAID!X429/1000</f>
        <v>0</v>
      </c>
      <c r="Y584" s="19">
        <f t="shared" si="101"/>
        <v>488.52699999999999</v>
      </c>
      <c r="Z584" s="19">
        <f t="shared" si="102"/>
        <v>0</v>
      </c>
      <c r="AA584" s="19">
        <f>[1]TOBEPAID!AA429/1000</f>
        <v>488.52699999999999</v>
      </c>
      <c r="AB584" s="19">
        <f>[1]TOBEPAID!AB429/1000</f>
        <v>0</v>
      </c>
      <c r="AC584" s="19"/>
      <c r="AD584" s="19"/>
    </row>
    <row r="585" spans="1:30" x14ac:dyDescent="0.2">
      <c r="A585" s="18"/>
      <c r="D585" s="21" t="s">
        <v>57</v>
      </c>
      <c r="E585" s="21" t="s">
        <v>57</v>
      </c>
      <c r="F585" s="21" t="s">
        <v>57</v>
      </c>
      <c r="G585" s="21"/>
      <c r="H585" s="21" t="s">
        <v>57</v>
      </c>
      <c r="I585" s="21" t="s">
        <v>57</v>
      </c>
      <c r="J585" s="21" t="s">
        <v>57</v>
      </c>
      <c r="K585" s="21" t="s">
        <v>57</v>
      </c>
      <c r="L585" s="21" t="s">
        <v>57</v>
      </c>
      <c r="M585" s="21"/>
      <c r="N585" s="21" t="s">
        <v>57</v>
      </c>
      <c r="O585" s="21" t="s">
        <v>57</v>
      </c>
      <c r="P585" s="21" t="s">
        <v>57</v>
      </c>
      <c r="Q585" s="21"/>
      <c r="R585" s="21" t="s">
        <v>57</v>
      </c>
      <c r="S585" s="21" t="s">
        <v>57</v>
      </c>
      <c r="T585" s="21" t="s">
        <v>57</v>
      </c>
      <c r="U585" s="21" t="s">
        <v>57</v>
      </c>
      <c r="V585" s="21" t="s">
        <v>57</v>
      </c>
      <c r="W585" s="21"/>
      <c r="X585" s="21" t="s">
        <v>57</v>
      </c>
      <c r="Y585" s="21" t="s">
        <v>57</v>
      </c>
      <c r="Z585" s="21" t="s">
        <v>57</v>
      </c>
      <c r="AA585" s="21" t="s">
        <v>57</v>
      </c>
      <c r="AB585" s="21" t="s">
        <v>57</v>
      </c>
      <c r="AC585" s="21"/>
      <c r="AD585" s="21"/>
    </row>
    <row r="586" spans="1:30" x14ac:dyDescent="0.2">
      <c r="A586" s="18"/>
      <c r="D586" s="35">
        <f>SUM(D578:D584)</f>
        <v>15725.551929999998</v>
      </c>
      <c r="E586" s="35">
        <f>SUM(E578:E584)</f>
        <v>488.52699999999999</v>
      </c>
      <c r="F586" s="35">
        <f>SUM(F578:F584)</f>
        <v>0</v>
      </c>
      <c r="G586" s="35"/>
      <c r="H586" s="35">
        <f>SUM(H578:H584)</f>
        <v>15725.551929999998</v>
      </c>
      <c r="I586" s="35">
        <f>SUM(I578:I584)</f>
        <v>0</v>
      </c>
      <c r="J586" s="35">
        <f>SUM(J578:J584)</f>
        <v>0</v>
      </c>
      <c r="K586" s="35">
        <f>SUM(K578:K584)</f>
        <v>0</v>
      </c>
      <c r="L586" s="35">
        <f>SUM(L578:L584)</f>
        <v>0</v>
      </c>
      <c r="M586" s="35"/>
      <c r="N586" s="35">
        <f>SUM(N578:N584)</f>
        <v>488.52699999999999</v>
      </c>
      <c r="O586" s="35">
        <f>SUM(O578:O584)</f>
        <v>0</v>
      </c>
      <c r="P586" s="35">
        <f>SUM(P578:P584)</f>
        <v>0</v>
      </c>
      <c r="Q586" s="35"/>
      <c r="R586" s="35">
        <f>SUM(R578:R584)</f>
        <v>0</v>
      </c>
      <c r="S586" s="35">
        <f>SUM(S578:S584)</f>
        <v>0</v>
      </c>
      <c r="T586" s="35">
        <f>SUM(T578:T584)</f>
        <v>0</v>
      </c>
      <c r="U586" s="35">
        <f>SUM(U578:U584)</f>
        <v>0</v>
      </c>
      <c r="V586" s="35">
        <f>SUM(V578:V584)</f>
        <v>0</v>
      </c>
      <c r="W586" s="35"/>
      <c r="X586" s="35">
        <f>SUM(X578:X584)</f>
        <v>0</v>
      </c>
      <c r="Y586" s="35">
        <f>SUM(Y578:Y584)</f>
        <v>15725.551929999998</v>
      </c>
      <c r="Z586" s="35">
        <f>SUM(Z578:Z584)</f>
        <v>0</v>
      </c>
      <c r="AA586" s="35">
        <f>SUM(AA578:AA584)</f>
        <v>488.52699999999999</v>
      </c>
      <c r="AB586" s="35">
        <f>SUM(AB578:AB584)</f>
        <v>0</v>
      </c>
      <c r="AC586" s="35"/>
      <c r="AD586" s="35"/>
    </row>
    <row r="587" spans="1:30" x14ac:dyDescent="0.2">
      <c r="A587" s="18"/>
      <c r="D587" s="21" t="s">
        <v>57</v>
      </c>
      <c r="E587" s="21" t="s">
        <v>57</v>
      </c>
      <c r="F587" s="21" t="s">
        <v>57</v>
      </c>
      <c r="G587" s="21"/>
      <c r="H587" s="21" t="s">
        <v>57</v>
      </c>
      <c r="I587" s="21" t="s">
        <v>57</v>
      </c>
      <c r="J587" s="21" t="s">
        <v>57</v>
      </c>
      <c r="K587" s="21" t="s">
        <v>57</v>
      </c>
      <c r="L587" s="21" t="s">
        <v>57</v>
      </c>
      <c r="M587" s="21"/>
      <c r="N587" s="21" t="s">
        <v>57</v>
      </c>
      <c r="O587" s="21" t="s">
        <v>57</v>
      </c>
      <c r="P587" s="21" t="s">
        <v>57</v>
      </c>
      <c r="Q587" s="21"/>
      <c r="R587" s="21" t="s">
        <v>57</v>
      </c>
      <c r="S587" s="21" t="s">
        <v>57</v>
      </c>
      <c r="T587" s="21" t="s">
        <v>57</v>
      </c>
      <c r="U587" s="21" t="s">
        <v>57</v>
      </c>
      <c r="V587" s="21" t="s">
        <v>57</v>
      </c>
      <c r="W587" s="21"/>
      <c r="X587" s="21" t="s">
        <v>57</v>
      </c>
      <c r="Y587" s="21" t="s">
        <v>57</v>
      </c>
      <c r="Z587" s="21" t="s">
        <v>57</v>
      </c>
      <c r="AA587" s="21" t="s">
        <v>57</v>
      </c>
      <c r="AB587" s="21" t="s">
        <v>57</v>
      </c>
      <c r="AC587" s="21"/>
      <c r="AD587" s="21"/>
    </row>
    <row r="588" spans="1:30" x14ac:dyDescent="0.2">
      <c r="A588" s="18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1:30" x14ac:dyDescent="0.2">
      <c r="A589" s="18">
        <v>42</v>
      </c>
      <c r="B589" s="3" t="s">
        <v>225</v>
      </c>
      <c r="C589" s="17" t="s">
        <v>51</v>
      </c>
      <c r="D589" s="19">
        <f>12968839.05/1000</f>
        <v>12968.83905</v>
      </c>
      <c r="E589" s="19">
        <f>[1]TOBEPAID!E434/1000</f>
        <v>0</v>
      </c>
      <c r="F589" s="19">
        <f>[1]TOBEPAID!F434/1000</f>
        <v>0</v>
      </c>
      <c r="G589" s="19">
        <f>[1]TOBEPAID!G434/1000</f>
        <v>0</v>
      </c>
      <c r="H589" s="19">
        <f>12968602/1000</f>
        <v>12968.602000000001</v>
      </c>
      <c r="I589" s="19">
        <f>[1]TOBEPAID!I434/1000</f>
        <v>0</v>
      </c>
      <c r="J589" s="19">
        <f>[1]TOBEPAID!J434/1000</f>
        <v>0</v>
      </c>
      <c r="K589" s="19">
        <f>[1]TOBEPAID!K434/1000</f>
        <v>0</v>
      </c>
      <c r="L589" s="19">
        <f>[1]TOBEPAID!L434/1000</f>
        <v>0</v>
      </c>
      <c r="M589" s="19">
        <f>[1]TOBEPAID!M434/1000</f>
        <v>0</v>
      </c>
      <c r="N589" s="19">
        <f>[1]TOBEPAID!N434/1000</f>
        <v>0</v>
      </c>
      <c r="O589" s="19">
        <f>[1]TOBEPAID!O434/1000</f>
        <v>0</v>
      </c>
      <c r="P589" s="19">
        <f>[1]TOBEPAID!P434/1000</f>
        <v>0</v>
      </c>
      <c r="Q589" s="19">
        <f>[1]TOBEPAID!Q434/1000</f>
        <v>0</v>
      </c>
      <c r="R589" s="19">
        <v>0</v>
      </c>
      <c r="S589" s="19">
        <f>[1]TOBEPAID!S434/1000</f>
        <v>0</v>
      </c>
      <c r="T589" s="19">
        <f>[1]TOBEPAID!T434/1000</f>
        <v>0</v>
      </c>
      <c r="U589" s="19">
        <f>[1]TOBEPAID!U434/1000</f>
        <v>0</v>
      </c>
      <c r="V589" s="19">
        <f>[1]TOBEPAID!V434/1000</f>
        <v>0</v>
      </c>
      <c r="W589" s="19">
        <f>[1]TOBEPAID!W434/1000</f>
        <v>0</v>
      </c>
      <c r="X589" s="19">
        <f>[1]TOBEPAID!X434/1000</f>
        <v>0</v>
      </c>
      <c r="Y589" s="19">
        <f t="shared" ref="Y589:Y594" si="103">+H589+R589</f>
        <v>12968.602000000001</v>
      </c>
      <c r="Z589" s="19">
        <f t="shared" ref="Z589:Z594" si="104">+D589-Y589</f>
        <v>0.23704999999972642</v>
      </c>
      <c r="AA589" s="19">
        <f>[1]TOBEPAID!AA434/1000</f>
        <v>0</v>
      </c>
      <c r="AB589" s="19">
        <f>[1]TOBEPAID!AB434/1000</f>
        <v>1127.8248899999999</v>
      </c>
      <c r="AC589" s="19"/>
      <c r="AD589" s="19"/>
    </row>
    <row r="590" spans="1:30" x14ac:dyDescent="0.2">
      <c r="C590" s="3" t="s">
        <v>75</v>
      </c>
      <c r="D590" s="3">
        <f>3649648.78/1000</f>
        <v>3649.64878</v>
      </c>
      <c r="H590" s="3">
        <f>3649648/1000</f>
        <v>3649.6480000000001</v>
      </c>
      <c r="R590" s="19">
        <v>0</v>
      </c>
      <c r="Y590" s="19">
        <f t="shared" si="103"/>
        <v>3649.6480000000001</v>
      </c>
      <c r="Z590" s="19">
        <f t="shared" si="104"/>
        <v>7.7999999984967872E-4</v>
      </c>
    </row>
    <row r="591" spans="1:30" x14ac:dyDescent="0.2">
      <c r="C591" s="3" t="s">
        <v>77</v>
      </c>
      <c r="D591" s="3">
        <f>7300000/1000</f>
        <v>7300</v>
      </c>
      <c r="H591" s="3">
        <f>7250907.91/1000</f>
        <v>7250.9079099999999</v>
      </c>
      <c r="R591" s="19">
        <v>0</v>
      </c>
      <c r="Y591" s="19">
        <f t="shared" si="103"/>
        <v>7250.9079099999999</v>
      </c>
      <c r="Z591" s="19">
        <f t="shared" si="104"/>
        <v>49.092090000000098</v>
      </c>
    </row>
    <row r="592" spans="1:30" x14ac:dyDescent="0.2">
      <c r="C592" s="3" t="s">
        <v>66</v>
      </c>
      <c r="D592" s="3">
        <f>6500000/1000</f>
        <v>6500</v>
      </c>
      <c r="H592" s="3">
        <f>6500000/1000</f>
        <v>6500</v>
      </c>
      <c r="R592" s="19">
        <v>0</v>
      </c>
      <c r="Y592" s="19">
        <f t="shared" si="103"/>
        <v>6500</v>
      </c>
      <c r="Z592" s="19">
        <f t="shared" si="104"/>
        <v>0</v>
      </c>
    </row>
    <row r="593" spans="1:45" x14ac:dyDescent="0.2">
      <c r="A593" s="18"/>
      <c r="C593" s="3" t="s">
        <v>96</v>
      </c>
      <c r="D593" s="19">
        <v>0</v>
      </c>
      <c r="E593" s="19">
        <f>[1]TOBEPAID!E435/1000</f>
        <v>0</v>
      </c>
      <c r="F593" s="19">
        <f>[1]TOBEPAID!F435/1000</f>
        <v>0</v>
      </c>
      <c r="G593" s="19">
        <f>[1]TOBEPAID!G435/1000</f>
        <v>0</v>
      </c>
      <c r="H593" s="19">
        <v>0</v>
      </c>
      <c r="I593" s="19">
        <f>[1]TOBEPAID!I435/1000</f>
        <v>0</v>
      </c>
      <c r="J593" s="19">
        <f>[1]TOBEPAID!J435/1000</f>
        <v>0</v>
      </c>
      <c r="K593" s="19">
        <f>[1]TOBEPAID!K435/1000</f>
        <v>0</v>
      </c>
      <c r="L593" s="19">
        <f>[1]TOBEPAID!L435/1000</f>
        <v>0</v>
      </c>
      <c r="M593" s="19">
        <f>[1]TOBEPAID!M435/1000</f>
        <v>0</v>
      </c>
      <c r="N593" s="19">
        <f>[1]TOBEPAID!N435/1000</f>
        <v>0</v>
      </c>
      <c r="O593" s="19">
        <f>[1]TOBEPAID!O435/1000</f>
        <v>0</v>
      </c>
      <c r="P593" s="19">
        <f>[1]TOBEPAID!P435/1000</f>
        <v>0</v>
      </c>
      <c r="Q593" s="19">
        <f>[1]TOBEPAID!Q435/1000</f>
        <v>0</v>
      </c>
      <c r="R593" s="19">
        <v>0</v>
      </c>
      <c r="S593" s="19">
        <f>[1]TOBEPAID!S435/1000</f>
        <v>0</v>
      </c>
      <c r="T593" s="19">
        <f>[1]TOBEPAID!T435/1000</f>
        <v>0</v>
      </c>
      <c r="U593" s="19">
        <f>[1]TOBEPAID!U435/1000</f>
        <v>0</v>
      </c>
      <c r="V593" s="19">
        <f>[1]TOBEPAID!V435/1000</f>
        <v>0</v>
      </c>
      <c r="W593" s="19">
        <f>[1]TOBEPAID!W435/1000</f>
        <v>0</v>
      </c>
      <c r="X593" s="19">
        <f>[1]TOBEPAID!X435/1000</f>
        <v>0</v>
      </c>
      <c r="Y593" s="19">
        <f t="shared" si="103"/>
        <v>0</v>
      </c>
      <c r="Z593" s="19">
        <f t="shared" si="104"/>
        <v>0</v>
      </c>
      <c r="AA593" s="19">
        <f>[1]TOBEPAID!AA435/1000</f>
        <v>0</v>
      </c>
      <c r="AB593" s="19">
        <f>[1]TOBEPAID!AB435/1000</f>
        <v>13284.15343</v>
      </c>
      <c r="AC593" s="19"/>
      <c r="AD593" s="19"/>
    </row>
    <row r="594" spans="1:45" x14ac:dyDescent="0.2">
      <c r="A594" s="18"/>
      <c r="C594" s="3" t="s">
        <v>97</v>
      </c>
      <c r="D594" s="19">
        <v>0</v>
      </c>
      <c r="E594" s="19">
        <f>[1]TOBEPAID!E436/1000</f>
        <v>0</v>
      </c>
      <c r="F594" s="19">
        <f>[1]TOBEPAID!F436/1000</f>
        <v>0</v>
      </c>
      <c r="G594" s="19">
        <f>[1]TOBEPAID!G436/1000</f>
        <v>0</v>
      </c>
      <c r="H594" s="19">
        <v>0</v>
      </c>
      <c r="I594" s="19">
        <f>[1]TOBEPAID!I436/1000</f>
        <v>0</v>
      </c>
      <c r="J594" s="19">
        <f>[1]TOBEPAID!J436/1000</f>
        <v>0</v>
      </c>
      <c r="K594" s="19">
        <f>[1]TOBEPAID!K436/1000</f>
        <v>0</v>
      </c>
      <c r="L594" s="19">
        <f>[1]TOBEPAID!L436/1000</f>
        <v>0</v>
      </c>
      <c r="M594" s="19">
        <f>[1]TOBEPAID!M436/1000</f>
        <v>0</v>
      </c>
      <c r="N594" s="19">
        <f>[1]TOBEPAID!N436/1000</f>
        <v>0</v>
      </c>
      <c r="O594" s="19">
        <f>[1]TOBEPAID!O436/1000</f>
        <v>0</v>
      </c>
      <c r="P594" s="19">
        <f>[1]TOBEPAID!P436/1000</f>
        <v>0</v>
      </c>
      <c r="Q594" s="19">
        <f>[1]TOBEPAID!Q436/1000</f>
        <v>0</v>
      </c>
      <c r="R594" s="19">
        <v>0</v>
      </c>
      <c r="S594" s="19">
        <f>[1]TOBEPAID!S436/1000</f>
        <v>0</v>
      </c>
      <c r="T594" s="19">
        <f>[1]TOBEPAID!T436/1000</f>
        <v>0</v>
      </c>
      <c r="U594" s="19">
        <f>[1]TOBEPAID!U436/1000</f>
        <v>0</v>
      </c>
      <c r="V594" s="19">
        <f>[1]TOBEPAID!V436/1000</f>
        <v>0</v>
      </c>
      <c r="W594" s="19">
        <f>[1]TOBEPAID!W436/1000</f>
        <v>0</v>
      </c>
      <c r="X594" s="19">
        <f>[1]TOBEPAID!X436/1000</f>
        <v>0</v>
      </c>
      <c r="Y594" s="19">
        <f t="shared" si="103"/>
        <v>0</v>
      </c>
      <c r="Z594" s="19">
        <f t="shared" si="104"/>
        <v>0</v>
      </c>
      <c r="AA594" s="19">
        <f>[1]TOBEPAID!AA436/1000</f>
        <v>0</v>
      </c>
      <c r="AB594" s="19">
        <f>[1]TOBEPAID!AB436/1000</f>
        <v>2206.50938</v>
      </c>
      <c r="AC594" s="19"/>
      <c r="AD594" s="19"/>
    </row>
    <row r="595" spans="1:45" x14ac:dyDescent="0.2">
      <c r="A595" s="18"/>
      <c r="D595" s="21" t="s">
        <v>57</v>
      </c>
      <c r="E595" s="21" t="s">
        <v>57</v>
      </c>
      <c r="F595" s="21" t="s">
        <v>57</v>
      </c>
      <c r="G595" s="21"/>
      <c r="H595" s="21" t="s">
        <v>57</v>
      </c>
      <c r="I595" s="21" t="s">
        <v>57</v>
      </c>
      <c r="J595" s="21" t="s">
        <v>57</v>
      </c>
      <c r="K595" s="21" t="s">
        <v>57</v>
      </c>
      <c r="L595" s="21" t="s">
        <v>57</v>
      </c>
      <c r="M595" s="21"/>
      <c r="N595" s="21" t="s">
        <v>57</v>
      </c>
      <c r="O595" s="21" t="s">
        <v>57</v>
      </c>
      <c r="P595" s="21" t="s">
        <v>57</v>
      </c>
      <c r="Q595" s="21"/>
      <c r="R595" s="21" t="s">
        <v>57</v>
      </c>
      <c r="S595" s="21" t="s">
        <v>57</v>
      </c>
      <c r="T595" s="21" t="s">
        <v>57</v>
      </c>
      <c r="U595" s="21" t="s">
        <v>57</v>
      </c>
      <c r="V595" s="21" t="s">
        <v>57</v>
      </c>
      <c r="W595" s="21"/>
      <c r="X595" s="21" t="s">
        <v>57</v>
      </c>
      <c r="Y595" s="21" t="s">
        <v>57</v>
      </c>
      <c r="Z595" s="21" t="s">
        <v>57</v>
      </c>
      <c r="AA595" s="21" t="s">
        <v>57</v>
      </c>
      <c r="AB595" s="21" t="s">
        <v>57</v>
      </c>
      <c r="AC595" s="21"/>
      <c r="AD595" s="21"/>
      <c r="AS595" s="34">
        <f t="shared" ref="AS595:AS606" si="105">+AF596-AK596-AP596</f>
        <v>-1.0000000202126103E-5</v>
      </c>
    </row>
    <row r="596" spans="1:45" x14ac:dyDescent="0.2">
      <c r="A596" s="18"/>
      <c r="D596" s="35">
        <f>SUM(D589:D594)</f>
        <v>30418.487830000002</v>
      </c>
      <c r="E596" s="35">
        <f>SUM(E589:E594)</f>
        <v>0</v>
      </c>
      <c r="F596" s="35">
        <f>SUM(F589:F594)</f>
        <v>0</v>
      </c>
      <c r="G596" s="35"/>
      <c r="H596" s="35">
        <f>SUM(H589:H594)</f>
        <v>30369.157910000002</v>
      </c>
      <c r="I596" s="35">
        <f>SUM(I589:I594)</f>
        <v>0</v>
      </c>
      <c r="J596" s="35">
        <f>SUM(J589:J594)</f>
        <v>0</v>
      </c>
      <c r="K596" s="35">
        <f>SUM(K589:K594)</f>
        <v>0</v>
      </c>
      <c r="L596" s="35">
        <f>SUM(L589:L594)</f>
        <v>0</v>
      </c>
      <c r="M596" s="35"/>
      <c r="N596" s="35">
        <f>SUM(N589:N594)</f>
        <v>0</v>
      </c>
      <c r="O596" s="35">
        <f>SUM(O589:O594)</f>
        <v>0</v>
      </c>
      <c r="P596" s="35">
        <f>SUM(P589:P594)</f>
        <v>0</v>
      </c>
      <c r="Q596" s="35"/>
      <c r="R596" s="35">
        <f>SUM(R589:R594)</f>
        <v>0</v>
      </c>
      <c r="S596" s="35">
        <f>SUM(S589:S594)</f>
        <v>0</v>
      </c>
      <c r="T596" s="35">
        <f>SUM(T589:T594)</f>
        <v>0</v>
      </c>
      <c r="U596" s="35">
        <f>SUM(U589:U594)</f>
        <v>0</v>
      </c>
      <c r="V596" s="35">
        <f>SUM(V589:V594)</f>
        <v>0</v>
      </c>
      <c r="W596" s="35"/>
      <c r="X596" s="35">
        <f>SUM(X589:X594)</f>
        <v>0</v>
      </c>
      <c r="Y596" s="35">
        <f>SUM(Y589:Y594)</f>
        <v>30369.157910000002</v>
      </c>
      <c r="Z596" s="35">
        <f>SUM(Z589:Z594)</f>
        <v>49.329919999999674</v>
      </c>
      <c r="AA596" s="35">
        <f>SUM(AA589:AA594)</f>
        <v>0</v>
      </c>
      <c r="AB596" s="35">
        <f>SUM(AB589:AB594)</f>
        <v>16618.487700000001</v>
      </c>
      <c r="AC596" s="35"/>
      <c r="AD596" s="35"/>
      <c r="AF596" s="32">
        <f>+D607+D534</f>
        <v>2924.0789999999997</v>
      </c>
      <c r="AG596" s="32">
        <f>+E607+E534</f>
        <v>2924.0790099999999</v>
      </c>
      <c r="AH596" s="32">
        <f>+F607+F534</f>
        <v>0</v>
      </c>
      <c r="AI596" s="32">
        <f>+AG596+AH596</f>
        <v>2924.0790099999999</v>
      </c>
      <c r="AJ596" s="32">
        <f>+L607+L534</f>
        <v>0</v>
      </c>
      <c r="AK596" s="32">
        <f>+AI596+AJ596</f>
        <v>2924.0790099999999</v>
      </c>
      <c r="AL596" s="32">
        <f>+O607+O534</f>
        <v>0</v>
      </c>
      <c r="AM596" s="32">
        <f>+P607+P534</f>
        <v>0</v>
      </c>
      <c r="AN596" s="32">
        <f>+AL596+AM596</f>
        <v>0</v>
      </c>
      <c r="AO596" s="32">
        <f>+V607+V534</f>
        <v>0</v>
      </c>
      <c r="AP596" s="34">
        <f>+AN596+AO596</f>
        <v>0</v>
      </c>
      <c r="AQ596" s="34">
        <f>+AI596+AN596</f>
        <v>2924.0790099999999</v>
      </c>
      <c r="AR596" s="34">
        <f>+AF596-AQ596</f>
        <v>-1.0000000202126103E-5</v>
      </c>
      <c r="AS596" s="34">
        <f t="shared" si="105"/>
        <v>0</v>
      </c>
    </row>
    <row r="597" spans="1:45" x14ac:dyDescent="0.2">
      <c r="A597" s="18"/>
      <c r="D597" s="21" t="s">
        <v>57</v>
      </c>
      <c r="E597" s="21" t="s">
        <v>57</v>
      </c>
      <c r="F597" s="21" t="s">
        <v>57</v>
      </c>
      <c r="G597" s="21"/>
      <c r="H597" s="21" t="s">
        <v>57</v>
      </c>
      <c r="I597" s="21" t="s">
        <v>57</v>
      </c>
      <c r="J597" s="21" t="s">
        <v>57</v>
      </c>
      <c r="K597" s="21" t="s">
        <v>57</v>
      </c>
      <c r="L597" s="21" t="s">
        <v>57</v>
      </c>
      <c r="M597" s="21"/>
      <c r="N597" s="21" t="s">
        <v>57</v>
      </c>
      <c r="O597" s="21" t="s">
        <v>57</v>
      </c>
      <c r="P597" s="21" t="s">
        <v>57</v>
      </c>
      <c r="Q597" s="21"/>
      <c r="R597" s="21" t="s">
        <v>57</v>
      </c>
      <c r="S597" s="21" t="s">
        <v>57</v>
      </c>
      <c r="T597" s="21" t="s">
        <v>57</v>
      </c>
      <c r="U597" s="21" t="s">
        <v>57</v>
      </c>
      <c r="V597" s="21" t="s">
        <v>57</v>
      </c>
      <c r="W597" s="21"/>
      <c r="X597" s="21" t="s">
        <v>57</v>
      </c>
      <c r="Y597" s="21" t="s">
        <v>57</v>
      </c>
      <c r="Z597" s="21" t="s">
        <v>57</v>
      </c>
      <c r="AA597" s="21" t="s">
        <v>57</v>
      </c>
      <c r="AB597" s="21" t="s">
        <v>57</v>
      </c>
      <c r="AC597" s="21"/>
      <c r="AD597" s="21"/>
      <c r="AE597" s="33" t="s">
        <v>72</v>
      </c>
      <c r="AF597" s="34">
        <f>+D467+D569</f>
        <v>13079.268</v>
      </c>
      <c r="AG597" s="34">
        <f>+E467+E569</f>
        <v>13079.268</v>
      </c>
      <c r="AH597" s="34">
        <f>+F467+F569</f>
        <v>0</v>
      </c>
      <c r="AI597" s="34">
        <f>+AG597+AH597</f>
        <v>13079.268</v>
      </c>
      <c r="AJ597" s="34">
        <f>+L467</f>
        <v>0</v>
      </c>
      <c r="AK597" s="34">
        <f>+AI597+AJ597</f>
        <v>13079.268</v>
      </c>
      <c r="AL597" s="34">
        <f>+O467</f>
        <v>0</v>
      </c>
      <c r="AM597" s="34">
        <f>+P467</f>
        <v>0</v>
      </c>
      <c r="AN597" s="34">
        <f>+AL597+AM597</f>
        <v>0</v>
      </c>
      <c r="AO597" s="34">
        <f>+V467</f>
        <v>0</v>
      </c>
      <c r="AP597" s="34">
        <f>+AN597+AO597</f>
        <v>0</v>
      </c>
      <c r="AQ597" s="34">
        <f>+AI597+AN597</f>
        <v>13079.268</v>
      </c>
      <c r="AR597" s="34">
        <f>+AF597-AQ597</f>
        <v>0</v>
      </c>
      <c r="AS597" s="34">
        <f t="shared" si="105"/>
        <v>323932.00158999994</v>
      </c>
    </row>
    <row r="598" spans="1:45" x14ac:dyDescent="0.2">
      <c r="A598" s="18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5" t="s">
        <v>78</v>
      </c>
      <c r="AF598" s="34">
        <f>D458+D475+D487+D502+D516+D528+D545+D552+D578+D589+D599+D612</f>
        <v>348256.47504999995</v>
      </c>
      <c r="AG598" s="34">
        <f>E458+E475+E487+E502+E516+E528+E545+E552+E578+E589+E599+E612</f>
        <v>12688.340150000002</v>
      </c>
      <c r="AH598" s="34">
        <f>F458+F475+F487+F502+F516+F528+F545+F552+F578+F589+F599+F612</f>
        <v>0</v>
      </c>
      <c r="AI598" s="34">
        <f>+AG598+AH598</f>
        <v>12688.340150000002</v>
      </c>
      <c r="AJ598" s="34">
        <f>L458+L475+L487+L502+L516+L528+L545+L552+L578+L589+L599+L612</f>
        <v>0</v>
      </c>
      <c r="AK598" s="34">
        <f>+AI598+AJ598</f>
        <v>12688.340150000002</v>
      </c>
      <c r="AL598" s="34">
        <f>O458+O475+O487+O502+O516+O528+O545+O552+O578+O589+O599+O612</f>
        <v>11636.133310000001</v>
      </c>
      <c r="AM598" s="34">
        <f>P458+P475+P487+P502+P516+P528+P545+P552+P578+P589+P599+P612</f>
        <v>0</v>
      </c>
      <c r="AN598" s="34">
        <f>+AL598+AM598</f>
        <v>11636.133310000001</v>
      </c>
      <c r="AO598" s="34">
        <f>V458+V475+V487+V502+V516+V528+V545+V552+V578+V589+V599+V612</f>
        <v>0</v>
      </c>
      <c r="AP598" s="34">
        <f>+AN598+AO598:AO598</f>
        <v>11636.133310000001</v>
      </c>
      <c r="AQ598" s="34">
        <f>+AI598+AN598</f>
        <v>24324.473460000001</v>
      </c>
      <c r="AR598" s="34">
        <f>+AF598-AQ598</f>
        <v>323932.00158999994</v>
      </c>
      <c r="AS598" s="34">
        <f t="shared" si="105"/>
        <v>0</v>
      </c>
    </row>
    <row r="599" spans="1:45" x14ac:dyDescent="0.2">
      <c r="A599" s="18">
        <v>43</v>
      </c>
      <c r="B599" s="3" t="s">
        <v>226</v>
      </c>
      <c r="C599" s="17" t="s">
        <v>51</v>
      </c>
      <c r="D599" s="19">
        <f>20667932/1000</f>
        <v>20667.932000000001</v>
      </c>
      <c r="E599" s="19">
        <f>[1]TOBEPAID!E441/1000</f>
        <v>0</v>
      </c>
      <c r="F599" s="19">
        <f>[1]TOBEPAID!F441/1000</f>
        <v>0</v>
      </c>
      <c r="G599" s="19">
        <f>[1]TOBEPAID!G441/1000</f>
        <v>0</v>
      </c>
      <c r="H599" s="19">
        <f>3000000/1000</f>
        <v>3000</v>
      </c>
      <c r="I599" s="19">
        <f>[1]TOBEPAID!I441/1000</f>
        <v>0</v>
      </c>
      <c r="J599" s="19">
        <f>[1]TOBEPAID!J441/1000</f>
        <v>0</v>
      </c>
      <c r="K599" s="19">
        <f>[1]TOBEPAID!K441/1000</f>
        <v>0</v>
      </c>
      <c r="L599" s="19">
        <f>[1]TOBEPAID!L441/1000</f>
        <v>0</v>
      </c>
      <c r="M599" s="19">
        <f>[1]TOBEPAID!M441/1000</f>
        <v>0</v>
      </c>
      <c r="N599" s="19">
        <f>[1]TOBEPAID!N441/1000</f>
        <v>0</v>
      </c>
      <c r="O599" s="19">
        <f>[1]TOBEPAID!O441/1000</f>
        <v>445.42459000000002</v>
      </c>
      <c r="P599" s="19">
        <f>[1]TOBEPAID!P441/1000</f>
        <v>0</v>
      </c>
      <c r="Q599" s="19">
        <f>[1]TOBEPAID!Q441/1000</f>
        <v>0</v>
      </c>
      <c r="R599" s="19">
        <v>0</v>
      </c>
      <c r="S599" s="19">
        <f>[1]TOBEPAID!S441/1000</f>
        <v>0</v>
      </c>
      <c r="T599" s="19">
        <f>[1]TOBEPAID!T441/1000</f>
        <v>0</v>
      </c>
      <c r="U599" s="19">
        <f>[1]TOBEPAID!U441/1000</f>
        <v>0</v>
      </c>
      <c r="V599" s="19">
        <f>[1]TOBEPAID!V441/1000</f>
        <v>0</v>
      </c>
      <c r="W599" s="19">
        <f>[1]TOBEPAID!W441/1000</f>
        <v>0</v>
      </c>
      <c r="X599" s="19">
        <f>[1]TOBEPAID!X441/1000</f>
        <v>445.42459000000002</v>
      </c>
      <c r="Y599" s="19">
        <f>+H599+R599</f>
        <v>3000</v>
      </c>
      <c r="Z599" s="19">
        <f>+D599-Y599</f>
        <v>17667.932000000001</v>
      </c>
      <c r="AA599" s="19">
        <f>[1]TOBEPAID!AA441/1000</f>
        <v>445.42459000000002</v>
      </c>
      <c r="AB599" s="19">
        <f>[1]TOBEPAID!AB441/1000</f>
        <v>20222.508180000001</v>
      </c>
      <c r="AC599" s="19"/>
      <c r="AD599" s="19"/>
      <c r="AE599" s="25" t="s">
        <v>85</v>
      </c>
      <c r="AF599" s="34">
        <f>D460+D476+D490+D503+D517+D530+D546+D553+D584+D600</f>
        <v>29377.556</v>
      </c>
      <c r="AG599" s="34">
        <f>E460+E476+E490+E503+E517+E530+E546+E553+E584+E600</f>
        <v>29377.556</v>
      </c>
      <c r="AH599" s="34">
        <f>F460+F476+F490+F503+F517+F530+F546+F553+F584+F600</f>
        <v>0</v>
      </c>
      <c r="AI599" s="34">
        <f t="shared" ref="AI599:AI607" si="106">+AG599+AH599</f>
        <v>29377.556</v>
      </c>
      <c r="AJ599" s="34">
        <f>L460+L476+L490+L503+L517+L530+L546+L553+L584+L600</f>
        <v>0</v>
      </c>
      <c r="AK599" s="34">
        <f t="shared" ref="AK599:AK607" si="107">+AI599+AJ599</f>
        <v>29377.556</v>
      </c>
      <c r="AL599" s="34">
        <f>O460+O476+O490+O503+O517+O530+O546+O553+O584+O600</f>
        <v>0</v>
      </c>
      <c r="AM599" s="34">
        <f>P460+P476+P490+P503+P517+P530+P546+P553+P584+P600</f>
        <v>0</v>
      </c>
      <c r="AN599" s="34">
        <f t="shared" ref="AN599:AN607" si="108">+AL599+AM599</f>
        <v>0</v>
      </c>
      <c r="AO599" s="34">
        <f>V460+V476+V490+V503+V517+V530+V546+V553+V584+V600</f>
        <v>0</v>
      </c>
      <c r="AP599" s="34">
        <f t="shared" ref="AP599:AP607" si="109">+AN599+AO599:AO599</f>
        <v>0</v>
      </c>
      <c r="AQ599" s="34">
        <f t="shared" ref="AQ599:AQ607" si="110">+AI599+AN599</f>
        <v>29377.556</v>
      </c>
      <c r="AR599" s="34">
        <f t="shared" ref="AR599:AR607" si="111">+AF599-AQ599</f>
        <v>0</v>
      </c>
      <c r="AS599" s="34">
        <f t="shared" si="105"/>
        <v>637.87795000000096</v>
      </c>
    </row>
    <row r="600" spans="1:45" x14ac:dyDescent="0.2">
      <c r="A600" s="18"/>
      <c r="C600" s="3" t="s">
        <v>52</v>
      </c>
      <c r="D600" s="19">
        <f>2612930/1000</f>
        <v>2612.9299999999998</v>
      </c>
      <c r="E600" s="19">
        <f>[1]TOBEPAID!E442/1000</f>
        <v>2612.9299999999998</v>
      </c>
      <c r="F600" s="19">
        <f>[1]TOBEPAID!F442/1000</f>
        <v>0</v>
      </c>
      <c r="G600" s="19">
        <f>[1]TOBEPAID!G442/1000</f>
        <v>0</v>
      </c>
      <c r="H600" s="19">
        <f>2612930/1000</f>
        <v>2612.9299999999998</v>
      </c>
      <c r="I600" s="19">
        <f>[1]TOBEPAID!I442/1000</f>
        <v>0</v>
      </c>
      <c r="J600" s="19">
        <f>[1]TOBEPAID!J442/1000</f>
        <v>0</v>
      </c>
      <c r="K600" s="19">
        <f>[1]TOBEPAID!K442/1000</f>
        <v>0</v>
      </c>
      <c r="L600" s="19">
        <f>[1]TOBEPAID!L442/1000</f>
        <v>0</v>
      </c>
      <c r="M600" s="19">
        <f>[1]TOBEPAID!M442/1000</f>
        <v>0</v>
      </c>
      <c r="N600" s="19">
        <f>[1]TOBEPAID!N442/1000</f>
        <v>2612.9299999999998</v>
      </c>
      <c r="O600" s="19">
        <f>[1]TOBEPAID!O442/1000</f>
        <v>0</v>
      </c>
      <c r="P600" s="19">
        <f>[1]TOBEPAID!P442/1000</f>
        <v>0</v>
      </c>
      <c r="Q600" s="19">
        <f>[1]TOBEPAID!Q442/1000</f>
        <v>0</v>
      </c>
      <c r="R600" s="19">
        <v>0</v>
      </c>
      <c r="S600" s="19">
        <f>[1]TOBEPAID!S442/1000</f>
        <v>0</v>
      </c>
      <c r="T600" s="19">
        <f>[1]TOBEPAID!T442/1000</f>
        <v>0</v>
      </c>
      <c r="U600" s="19">
        <f>[1]TOBEPAID!U442/1000</f>
        <v>0</v>
      </c>
      <c r="V600" s="19">
        <f>[1]TOBEPAID!V442/1000</f>
        <v>0</v>
      </c>
      <c r="W600" s="19">
        <f>[1]TOBEPAID!W442/1000</f>
        <v>0</v>
      </c>
      <c r="X600" s="19">
        <f>[1]TOBEPAID!X442/1000</f>
        <v>0</v>
      </c>
      <c r="Y600" s="19">
        <f>+H600+R600</f>
        <v>2612.9299999999998</v>
      </c>
      <c r="Z600" s="19">
        <f>+D600-Y600</f>
        <v>0</v>
      </c>
      <c r="AA600" s="19">
        <f>[1]TOBEPAID!AA442/1000</f>
        <v>2612.9299999999998</v>
      </c>
      <c r="AB600" s="19">
        <f>[1]TOBEPAID!AB442/1000</f>
        <v>0</v>
      </c>
      <c r="AC600" s="19"/>
      <c r="AD600" s="19"/>
      <c r="AE600" s="25" t="s">
        <v>52</v>
      </c>
      <c r="AF600" s="34">
        <f>D461+D495+D509</f>
        <v>6165.5013500000005</v>
      </c>
      <c r="AG600" s="34">
        <f>E461+E495+E509</f>
        <v>0</v>
      </c>
      <c r="AH600" s="34">
        <f>F461+F495+F509</f>
        <v>0</v>
      </c>
      <c r="AI600" s="34">
        <f t="shared" si="106"/>
        <v>0</v>
      </c>
      <c r="AJ600" s="34">
        <f>L461+L495+L509</f>
        <v>0</v>
      </c>
      <c r="AK600" s="34">
        <f t="shared" si="107"/>
        <v>0</v>
      </c>
      <c r="AL600" s="34">
        <f>O461+O495+O509</f>
        <v>5527.6233999999995</v>
      </c>
      <c r="AM600" s="34">
        <f>P461+P495+P509</f>
        <v>0</v>
      </c>
      <c r="AN600" s="34">
        <f t="shared" si="108"/>
        <v>5527.6233999999995</v>
      </c>
      <c r="AO600" s="34">
        <f>V461+V495+V509</f>
        <v>0</v>
      </c>
      <c r="AP600" s="34">
        <f t="shared" si="109"/>
        <v>5527.6233999999995</v>
      </c>
      <c r="AQ600" s="34">
        <f t="shared" si="110"/>
        <v>5527.6233999999995</v>
      </c>
      <c r="AR600" s="34">
        <f t="shared" si="111"/>
        <v>637.87795000000096</v>
      </c>
      <c r="AS600" s="34">
        <f t="shared" si="105"/>
        <v>0.16386000000000001</v>
      </c>
    </row>
    <row r="601" spans="1:45" x14ac:dyDescent="0.2">
      <c r="A601" s="18"/>
      <c r="C601" s="3" t="s">
        <v>96</v>
      </c>
      <c r="D601" s="19">
        <f>7448000/1000</f>
        <v>7448</v>
      </c>
      <c r="E601" s="19">
        <f>[1]TOBEPAID!E443/1000</f>
        <v>0</v>
      </c>
      <c r="F601" s="19">
        <f>[1]TOBEPAID!F443/1000</f>
        <v>0</v>
      </c>
      <c r="G601" s="19">
        <f>[1]TOBEPAID!G443/1000</f>
        <v>0</v>
      </c>
      <c r="H601" s="19">
        <v>0</v>
      </c>
      <c r="I601" s="19">
        <f>[1]TOBEPAID!I443/1000</f>
        <v>0</v>
      </c>
      <c r="J601" s="19">
        <f>[1]TOBEPAID!J443/1000</f>
        <v>0</v>
      </c>
      <c r="K601" s="19">
        <f>[1]TOBEPAID!K443/1000</f>
        <v>0</v>
      </c>
      <c r="L601" s="19">
        <f>[1]TOBEPAID!L443/1000</f>
        <v>0</v>
      </c>
      <c r="M601" s="19">
        <f>[1]TOBEPAID!M443/1000</f>
        <v>0</v>
      </c>
      <c r="N601" s="19">
        <f>[1]TOBEPAID!N443/1000</f>
        <v>0</v>
      </c>
      <c r="O601" s="19">
        <f>[1]TOBEPAID!O443/1000</f>
        <v>1300.6234399999998</v>
      </c>
      <c r="P601" s="19">
        <f>[1]TOBEPAID!P443/1000</f>
        <v>0</v>
      </c>
      <c r="Q601" s="19">
        <f>[1]TOBEPAID!Q443/1000</f>
        <v>0</v>
      </c>
      <c r="R601" s="19">
        <f>1300623.44/1000</f>
        <v>1300.6234399999998</v>
      </c>
      <c r="S601" s="19">
        <f>[1]TOBEPAID!S443/1000</f>
        <v>0</v>
      </c>
      <c r="T601" s="19">
        <f>[1]TOBEPAID!T443/1000</f>
        <v>0</v>
      </c>
      <c r="U601" s="19">
        <f>[1]TOBEPAID!U443/1000</f>
        <v>0</v>
      </c>
      <c r="V601" s="19">
        <f>[1]TOBEPAID!V443/1000</f>
        <v>0</v>
      </c>
      <c r="W601" s="19">
        <f>[1]TOBEPAID!W443/1000</f>
        <v>0</v>
      </c>
      <c r="X601" s="19">
        <f>[1]TOBEPAID!X443/1000</f>
        <v>1300.6234399999998</v>
      </c>
      <c r="Y601" s="19">
        <f>+H601+R601</f>
        <v>1300.6234399999998</v>
      </c>
      <c r="Z601" s="19">
        <f>+D601-Y601</f>
        <v>6147.3765600000006</v>
      </c>
      <c r="AA601" s="19">
        <f>[1]TOBEPAID!AA443/1000</f>
        <v>1300.6234399999998</v>
      </c>
      <c r="AB601" s="19">
        <f>[1]TOBEPAID!AB443/1000</f>
        <v>6147.3765600000006</v>
      </c>
      <c r="AC601" s="19"/>
      <c r="AD601" s="19"/>
      <c r="AE601" s="25" t="s">
        <v>87</v>
      </c>
      <c r="AF601" s="34">
        <f>D462+D496+D571</f>
        <v>0.16386000000000001</v>
      </c>
      <c r="AG601" s="34">
        <f>E462+E496+E571</f>
        <v>0</v>
      </c>
      <c r="AH601" s="34">
        <f>F462+F496+F571</f>
        <v>0</v>
      </c>
      <c r="AI601" s="34">
        <f t="shared" si="106"/>
        <v>0</v>
      </c>
      <c r="AJ601" s="34">
        <f>L462+L496+L571</f>
        <v>0</v>
      </c>
      <c r="AK601" s="34">
        <f t="shared" si="107"/>
        <v>0</v>
      </c>
      <c r="AL601" s="34">
        <f>O462+O496+O571</f>
        <v>0</v>
      </c>
      <c r="AM601" s="34">
        <f>P462+P496+P571</f>
        <v>0</v>
      </c>
      <c r="AN601" s="34">
        <f t="shared" si="108"/>
        <v>0</v>
      </c>
      <c r="AO601" s="34">
        <f>V462+V496+V571</f>
        <v>0</v>
      </c>
      <c r="AP601" s="34">
        <f t="shared" si="109"/>
        <v>0</v>
      </c>
      <c r="AQ601" s="34">
        <f t="shared" si="110"/>
        <v>0</v>
      </c>
      <c r="AR601" s="34">
        <f t="shared" si="111"/>
        <v>0.16386000000000001</v>
      </c>
      <c r="AS601" s="34">
        <f t="shared" si="105"/>
        <v>5445.8037999999997</v>
      </c>
    </row>
    <row r="602" spans="1:45" x14ac:dyDescent="0.2">
      <c r="A602" s="18"/>
      <c r="C602" s="3" t="s">
        <v>97</v>
      </c>
      <c r="D602" s="19">
        <v>0</v>
      </c>
      <c r="E602" s="19">
        <f>[1]TOBEPAID!E444/1000</f>
        <v>0</v>
      </c>
      <c r="F602" s="19">
        <f>[1]TOBEPAID!F444/1000</f>
        <v>0</v>
      </c>
      <c r="G602" s="19">
        <f>[1]TOBEPAID!G444/1000</f>
        <v>0</v>
      </c>
      <c r="H602" s="19">
        <v>0</v>
      </c>
      <c r="I602" s="19">
        <f>[1]TOBEPAID!I444/1000</f>
        <v>0</v>
      </c>
      <c r="J602" s="19">
        <f>[1]TOBEPAID!J444/1000</f>
        <v>0</v>
      </c>
      <c r="K602" s="19">
        <f>[1]TOBEPAID!K444/1000</f>
        <v>0</v>
      </c>
      <c r="L602" s="19">
        <f>[1]TOBEPAID!L444/1000</f>
        <v>0</v>
      </c>
      <c r="M602" s="19">
        <f>[1]TOBEPAID!M444/1000</f>
        <v>0</v>
      </c>
      <c r="N602" s="19">
        <f>[1]TOBEPAID!N444/1000</f>
        <v>0</v>
      </c>
      <c r="O602" s="19">
        <f>[1]TOBEPAID!O444/1000</f>
        <v>0</v>
      </c>
      <c r="P602" s="19">
        <f>[1]TOBEPAID!P444/1000</f>
        <v>0</v>
      </c>
      <c r="Q602" s="19">
        <f>[1]TOBEPAID!Q444/1000</f>
        <v>0</v>
      </c>
      <c r="R602" s="19">
        <v>0</v>
      </c>
      <c r="S602" s="19">
        <f>[1]TOBEPAID!S444/1000</f>
        <v>0</v>
      </c>
      <c r="T602" s="19">
        <f>[1]TOBEPAID!T444/1000</f>
        <v>0</v>
      </c>
      <c r="U602" s="19">
        <f>[1]TOBEPAID!U444/1000</f>
        <v>0</v>
      </c>
      <c r="V602" s="19">
        <f>[1]TOBEPAID!V444/1000</f>
        <v>0</v>
      </c>
      <c r="W602" s="19">
        <f>[1]TOBEPAID!W444/1000</f>
        <v>0</v>
      </c>
      <c r="X602" s="19">
        <f>[1]TOBEPAID!X444/1000</f>
        <v>0</v>
      </c>
      <c r="Y602" s="19">
        <f>+H602+R602</f>
        <v>0</v>
      </c>
      <c r="Z602" s="19">
        <f>+D602-Y602</f>
        <v>0</v>
      </c>
      <c r="AA602" s="19">
        <f>[1]TOBEPAID!AA444/1000</f>
        <v>0</v>
      </c>
      <c r="AB602" s="19">
        <f>[1]TOBEPAID!AB444/1000</f>
        <v>0</v>
      </c>
      <c r="AC602" s="19"/>
      <c r="AD602" s="19"/>
      <c r="AE602" s="25" t="s">
        <v>88</v>
      </c>
      <c r="AF602" s="34">
        <f>D547+D558+D570+D603</f>
        <v>16146.06683</v>
      </c>
      <c r="AG602" s="34">
        <f>E547+E558+E570+E603</f>
        <v>0</v>
      </c>
      <c r="AH602" s="34">
        <f>F547+F558+F570+F603</f>
        <v>0</v>
      </c>
      <c r="AI602" s="34">
        <f t="shared" si="106"/>
        <v>0</v>
      </c>
      <c r="AJ602" s="34">
        <f>L547+L558+L570+L603</f>
        <v>0</v>
      </c>
      <c r="AK602" s="34">
        <f t="shared" si="107"/>
        <v>0</v>
      </c>
      <c r="AL602" s="34">
        <f>O547+O558+O570+O603</f>
        <v>10700.26303</v>
      </c>
      <c r="AM602" s="34">
        <f>P547+P558+P570+P603</f>
        <v>0</v>
      </c>
      <c r="AN602" s="34">
        <f t="shared" si="108"/>
        <v>10700.26303</v>
      </c>
      <c r="AO602" s="34">
        <f>V547+V558+V570+V603</f>
        <v>0</v>
      </c>
      <c r="AP602" s="34">
        <f t="shared" si="109"/>
        <v>10700.26303</v>
      </c>
      <c r="AQ602" s="34">
        <f t="shared" si="110"/>
        <v>10700.26303</v>
      </c>
      <c r="AR602" s="34">
        <f t="shared" si="111"/>
        <v>5445.8037999999997</v>
      </c>
      <c r="AS602" s="34">
        <f t="shared" si="105"/>
        <v>0</v>
      </c>
    </row>
    <row r="603" spans="1:45" x14ac:dyDescent="0.2">
      <c r="A603" s="18"/>
      <c r="C603" s="3" t="s">
        <v>55</v>
      </c>
      <c r="D603" s="19">
        <f>10700263/1000</f>
        <v>10700.263000000001</v>
      </c>
      <c r="E603" s="19">
        <f>[1]TOBEPAID!E445/1000</f>
        <v>0</v>
      </c>
      <c r="F603" s="19">
        <f>[1]TOBEPAID!F445/1000</f>
        <v>0</v>
      </c>
      <c r="G603" s="19">
        <f>[1]TOBEPAID!G445/1000</f>
        <v>0</v>
      </c>
      <c r="H603" s="19">
        <v>0</v>
      </c>
      <c r="I603" s="19">
        <f>[1]TOBEPAID!I445/1000</f>
        <v>0</v>
      </c>
      <c r="J603" s="19">
        <f>[1]TOBEPAID!J445/1000</f>
        <v>0</v>
      </c>
      <c r="K603" s="19">
        <f>[1]TOBEPAID!K445/1000</f>
        <v>0</v>
      </c>
      <c r="L603" s="19">
        <f>[1]TOBEPAID!L445/1000</f>
        <v>0</v>
      </c>
      <c r="M603" s="19">
        <f>[1]TOBEPAID!M445/1000</f>
        <v>0</v>
      </c>
      <c r="N603" s="19">
        <f>[1]TOBEPAID!N445/1000</f>
        <v>0</v>
      </c>
      <c r="O603" s="19">
        <f>[1]TOBEPAID!O445/1000</f>
        <v>10700.26303</v>
      </c>
      <c r="P603" s="19">
        <f>[1]TOBEPAID!P445/1000</f>
        <v>0</v>
      </c>
      <c r="Q603" s="19">
        <f>[1]TOBEPAID!Q445/1000</f>
        <v>0</v>
      </c>
      <c r="R603" s="19">
        <f>10700263/1000</f>
        <v>10700.263000000001</v>
      </c>
      <c r="S603" s="19">
        <f>[1]TOBEPAID!S445/1000</f>
        <v>0</v>
      </c>
      <c r="T603" s="19">
        <f>[1]TOBEPAID!T445/1000</f>
        <v>0</v>
      </c>
      <c r="U603" s="19">
        <f>[1]TOBEPAID!U445/1000</f>
        <v>0</v>
      </c>
      <c r="V603" s="19">
        <f>[1]TOBEPAID!V445/1000</f>
        <v>0</v>
      </c>
      <c r="W603" s="19">
        <f>[1]TOBEPAID!W445/1000</f>
        <v>0</v>
      </c>
      <c r="X603" s="19">
        <f>[1]TOBEPAID!X445/1000</f>
        <v>10700.26303</v>
      </c>
      <c r="Y603" s="19">
        <f>+H603+R603</f>
        <v>10700.263000000001</v>
      </c>
      <c r="Z603" s="19">
        <f>+D603-Y603</f>
        <v>0</v>
      </c>
      <c r="AA603" s="19">
        <f>[1]TOBEPAID!AA445/1000</f>
        <v>10700.26303</v>
      </c>
      <c r="AB603" s="19">
        <f>[1]TOBEPAID!AB445/1000</f>
        <v>0</v>
      </c>
      <c r="AC603" s="19"/>
      <c r="AD603" s="19"/>
      <c r="AE603" s="25" t="s">
        <v>55</v>
      </c>
      <c r="AF603" s="34">
        <f>+D559</f>
        <v>0</v>
      </c>
      <c r="AG603" s="34">
        <f>+E559</f>
        <v>0</v>
      </c>
      <c r="AH603" s="34">
        <f>+F559</f>
        <v>0</v>
      </c>
      <c r="AI603" s="34">
        <f t="shared" si="106"/>
        <v>0</v>
      </c>
      <c r="AJ603" s="34">
        <f>+L559</f>
        <v>0</v>
      </c>
      <c r="AK603" s="34">
        <f t="shared" si="107"/>
        <v>0</v>
      </c>
      <c r="AL603" s="34">
        <f>+O559</f>
        <v>0</v>
      </c>
      <c r="AM603" s="34">
        <f>+P559</f>
        <v>0</v>
      </c>
      <c r="AN603" s="34">
        <f t="shared" si="108"/>
        <v>0</v>
      </c>
      <c r="AO603" s="34">
        <f>+V559</f>
        <v>0</v>
      </c>
      <c r="AP603" s="34">
        <f t="shared" si="109"/>
        <v>0</v>
      </c>
      <c r="AQ603" s="34">
        <f t="shared" si="110"/>
        <v>0</v>
      </c>
      <c r="AR603" s="34">
        <f t="shared" si="111"/>
        <v>0</v>
      </c>
      <c r="AS603" s="34">
        <f t="shared" si="105"/>
        <v>0</v>
      </c>
    </row>
    <row r="604" spans="1:45" x14ac:dyDescent="0.2">
      <c r="A604" s="18"/>
      <c r="D604" s="21" t="s">
        <v>57</v>
      </c>
      <c r="E604" s="21" t="s">
        <v>57</v>
      </c>
      <c r="F604" s="21" t="s">
        <v>57</v>
      </c>
      <c r="G604" s="21"/>
      <c r="H604" s="21" t="s">
        <v>57</v>
      </c>
      <c r="I604" s="21" t="s">
        <v>57</v>
      </c>
      <c r="J604" s="21" t="s">
        <v>57</v>
      </c>
      <c r="K604" s="21" t="s">
        <v>57</v>
      </c>
      <c r="L604" s="21" t="s">
        <v>57</v>
      </c>
      <c r="M604" s="21"/>
      <c r="N604" s="21" t="s">
        <v>57</v>
      </c>
      <c r="O604" s="21" t="s">
        <v>57</v>
      </c>
      <c r="P604" s="21" t="s">
        <v>57</v>
      </c>
      <c r="Q604" s="21"/>
      <c r="R604" s="21" t="s">
        <v>57</v>
      </c>
      <c r="S604" s="21" t="s">
        <v>57</v>
      </c>
      <c r="T604" s="21" t="s">
        <v>57</v>
      </c>
      <c r="U604" s="21" t="s">
        <v>57</v>
      </c>
      <c r="V604" s="21" t="s">
        <v>57</v>
      </c>
      <c r="W604" s="21"/>
      <c r="X604" s="21" t="s">
        <v>57</v>
      </c>
      <c r="Y604" s="21" t="s">
        <v>57</v>
      </c>
      <c r="Z604" s="21" t="s">
        <v>57</v>
      </c>
      <c r="AA604" s="21" t="s">
        <v>57</v>
      </c>
      <c r="AB604" s="21" t="s">
        <v>57</v>
      </c>
      <c r="AC604" s="21"/>
      <c r="AD604" s="21"/>
      <c r="AE604" s="25" t="s">
        <v>120</v>
      </c>
      <c r="AF604" s="34">
        <f>+D573</f>
        <v>0</v>
      </c>
      <c r="AG604" s="34">
        <f>+E573</f>
        <v>0</v>
      </c>
      <c r="AH604" s="34">
        <f>+F573</f>
        <v>0</v>
      </c>
      <c r="AI604" s="34">
        <f t="shared" si="106"/>
        <v>0</v>
      </c>
      <c r="AJ604" s="34">
        <f>+L573</f>
        <v>0</v>
      </c>
      <c r="AK604" s="34">
        <f t="shared" si="107"/>
        <v>0</v>
      </c>
      <c r="AL604" s="34">
        <f>+O573</f>
        <v>0</v>
      </c>
      <c r="AM604" s="34">
        <f>+P573</f>
        <v>0</v>
      </c>
      <c r="AN604" s="34">
        <f t="shared" si="108"/>
        <v>0</v>
      </c>
      <c r="AO604" s="34">
        <f>+V573</f>
        <v>0</v>
      </c>
      <c r="AP604" s="34">
        <f t="shared" si="109"/>
        <v>0</v>
      </c>
      <c r="AQ604" s="34">
        <f t="shared" si="110"/>
        <v>0</v>
      </c>
      <c r="AR604" s="34">
        <f t="shared" si="111"/>
        <v>0</v>
      </c>
      <c r="AS604" s="34">
        <f t="shared" si="105"/>
        <v>-7.8000000087286026E-4</v>
      </c>
    </row>
    <row r="605" spans="1:45" x14ac:dyDescent="0.2">
      <c r="A605" s="18"/>
      <c r="D605" s="35">
        <f>SUM(D599:D603)</f>
        <v>41429.125</v>
      </c>
      <c r="E605" s="35">
        <f>SUM(E599:E603)</f>
        <v>2612.9299999999998</v>
      </c>
      <c r="F605" s="35">
        <f>SUM(F599:F603)</f>
        <v>0</v>
      </c>
      <c r="G605" s="35"/>
      <c r="H605" s="35">
        <f>SUM(H599:H603)</f>
        <v>5612.93</v>
      </c>
      <c r="I605" s="35">
        <f>SUM(I599:I603)</f>
        <v>0</v>
      </c>
      <c r="J605" s="35">
        <f>SUM(J599:J603)</f>
        <v>0</v>
      </c>
      <c r="K605" s="35">
        <f>SUM(K599:K603)</f>
        <v>0</v>
      </c>
      <c r="L605" s="35">
        <f>SUM(L599:L603)</f>
        <v>0</v>
      </c>
      <c r="M605" s="35"/>
      <c r="N605" s="35">
        <f>SUM(N599:N603)</f>
        <v>2612.9299999999998</v>
      </c>
      <c r="O605" s="35">
        <f>SUM(O599:O603)</f>
        <v>12446.31106</v>
      </c>
      <c r="P605" s="35">
        <f>SUM(P599:P603)</f>
        <v>0</v>
      </c>
      <c r="Q605" s="35"/>
      <c r="R605" s="35">
        <f>SUM(R599:R603)</f>
        <v>12000.88644</v>
      </c>
      <c r="S605" s="35">
        <f>SUM(S599:S603)</f>
        <v>0</v>
      </c>
      <c r="T605" s="35">
        <f>SUM(T599:T603)</f>
        <v>0</v>
      </c>
      <c r="U605" s="35">
        <f>SUM(U599:U603)</f>
        <v>0</v>
      </c>
      <c r="V605" s="35">
        <f>SUM(V599:V603)</f>
        <v>0</v>
      </c>
      <c r="W605" s="35"/>
      <c r="X605" s="35">
        <f>SUM(X599:X603)</f>
        <v>12446.31106</v>
      </c>
      <c r="Y605" s="35">
        <f>SUM(Y599:Y603)</f>
        <v>17613.816440000002</v>
      </c>
      <c r="Z605" s="35">
        <f>SUM(Z599:Z603)</f>
        <v>23815.308560000001</v>
      </c>
      <c r="AA605" s="35">
        <f>SUM(AA599:AA603)</f>
        <v>15059.24106</v>
      </c>
      <c r="AB605" s="35">
        <f>SUM(AB599:AB603)</f>
        <v>26369.884740000001</v>
      </c>
      <c r="AC605" s="35"/>
      <c r="AD605" s="35"/>
      <c r="AE605" s="25" t="s">
        <v>227</v>
      </c>
      <c r="AF605" s="34">
        <f>+D469</f>
        <v>6452.902</v>
      </c>
      <c r="AG605" s="34">
        <f>+E469</f>
        <v>5617.6804800000009</v>
      </c>
      <c r="AH605" s="34">
        <f>+F469</f>
        <v>0</v>
      </c>
      <c r="AI605" s="34">
        <f t="shared" si="106"/>
        <v>5617.6804800000009</v>
      </c>
      <c r="AJ605" s="34">
        <f>+L469</f>
        <v>0</v>
      </c>
      <c r="AK605" s="34">
        <f t="shared" si="107"/>
        <v>5617.6804800000009</v>
      </c>
      <c r="AL605" s="34">
        <f>+O469</f>
        <v>835.22230000000002</v>
      </c>
      <c r="AM605" s="34">
        <f>+P469</f>
        <v>0</v>
      </c>
      <c r="AN605" s="34">
        <f t="shared" si="108"/>
        <v>835.22230000000002</v>
      </c>
      <c r="AO605" s="34">
        <f>+V469</f>
        <v>0</v>
      </c>
      <c r="AP605" s="34">
        <f t="shared" si="109"/>
        <v>835.22230000000002</v>
      </c>
      <c r="AQ605" s="34">
        <f t="shared" si="110"/>
        <v>6452.9027800000013</v>
      </c>
      <c r="AR605" s="34">
        <f t="shared" si="111"/>
        <v>-7.8000000121392077E-4</v>
      </c>
      <c r="AS605" s="34">
        <f t="shared" si="105"/>
        <v>0</v>
      </c>
    </row>
    <row r="606" spans="1:45" x14ac:dyDescent="0.2">
      <c r="A606" s="18"/>
      <c r="D606" s="21" t="s">
        <v>57</v>
      </c>
      <c r="E606" s="21" t="s">
        <v>57</v>
      </c>
      <c r="F606" s="21" t="s">
        <v>57</v>
      </c>
      <c r="G606" s="21"/>
      <c r="H606" s="21" t="s">
        <v>57</v>
      </c>
      <c r="I606" s="21" t="s">
        <v>57</v>
      </c>
      <c r="J606" s="21" t="s">
        <v>57</v>
      </c>
      <c r="K606" s="21" t="s">
        <v>57</v>
      </c>
      <c r="L606" s="21" t="s">
        <v>57</v>
      </c>
      <c r="M606" s="21"/>
      <c r="N606" s="21" t="s">
        <v>57</v>
      </c>
      <c r="O606" s="21" t="s">
        <v>57</v>
      </c>
      <c r="P606" s="21" t="s">
        <v>57</v>
      </c>
      <c r="Q606" s="21"/>
      <c r="R606" s="21" t="s">
        <v>57</v>
      </c>
      <c r="S606" s="21" t="s">
        <v>57</v>
      </c>
      <c r="T606" s="21" t="s">
        <v>57</v>
      </c>
      <c r="U606" s="21" t="s">
        <v>57</v>
      </c>
      <c r="V606" s="21" t="s">
        <v>57</v>
      </c>
      <c r="W606" s="21"/>
      <c r="X606" s="21" t="s">
        <v>57</v>
      </c>
      <c r="Y606" s="21" t="s">
        <v>57</v>
      </c>
      <c r="Z606" s="21" t="s">
        <v>57</v>
      </c>
      <c r="AA606" s="21" t="s">
        <v>57</v>
      </c>
      <c r="AB606" s="21" t="s">
        <v>57</v>
      </c>
      <c r="AC606" s="21"/>
      <c r="AD606" s="21"/>
      <c r="AE606" s="25" t="s">
        <v>90</v>
      </c>
      <c r="AF606" s="34">
        <f>D482+D470+D497</f>
        <v>40529</v>
      </c>
      <c r="AG606" s="34">
        <f>E482+E470+E497</f>
        <v>40529</v>
      </c>
      <c r="AH606" s="34">
        <f>F482+F470+F497</f>
        <v>0</v>
      </c>
      <c r="AI606" s="34">
        <f t="shared" si="106"/>
        <v>40529</v>
      </c>
      <c r="AJ606" s="34">
        <f>L482+L470+L497</f>
        <v>0</v>
      </c>
      <c r="AK606" s="34">
        <f t="shared" si="107"/>
        <v>40529</v>
      </c>
      <c r="AL606" s="34">
        <f>O482+O470+O497</f>
        <v>0</v>
      </c>
      <c r="AM606" s="34">
        <f>P482+P470+P497</f>
        <v>0</v>
      </c>
      <c r="AN606" s="34">
        <f t="shared" si="108"/>
        <v>0</v>
      </c>
      <c r="AO606" s="34">
        <f>V482+V470+V497</f>
        <v>0</v>
      </c>
      <c r="AP606" s="34">
        <f t="shared" si="109"/>
        <v>0</v>
      </c>
      <c r="AQ606" s="34">
        <f t="shared" si="110"/>
        <v>40529</v>
      </c>
      <c r="AR606" s="34">
        <f t="shared" si="111"/>
        <v>0</v>
      </c>
      <c r="AS606" s="34">
        <f t="shared" si="105"/>
        <v>46335.428110000008</v>
      </c>
    </row>
    <row r="607" spans="1:45" x14ac:dyDescent="0.2">
      <c r="A607" s="18">
        <v>44</v>
      </c>
      <c r="B607" s="3" t="s">
        <v>228</v>
      </c>
      <c r="C607" s="3" t="s">
        <v>53</v>
      </c>
      <c r="D607" s="19">
        <f>910000/1000</f>
        <v>910</v>
      </c>
      <c r="E607" s="19">
        <f>[1]TOBEPAID!E449/1000</f>
        <v>910</v>
      </c>
      <c r="F607" s="19">
        <f>[1]TOBEPAID!F449/1000</f>
        <v>0</v>
      </c>
      <c r="G607" s="19">
        <f>[1]TOBEPAID!G449/1000</f>
        <v>0</v>
      </c>
      <c r="H607" s="19">
        <f>910000/1000</f>
        <v>910</v>
      </c>
      <c r="I607" s="19">
        <f>[1]TOBEPAID!I449/1000</f>
        <v>0</v>
      </c>
      <c r="J607" s="19">
        <f>[1]TOBEPAID!J449/1000</f>
        <v>0</v>
      </c>
      <c r="K607" s="19">
        <f>[1]TOBEPAID!K449/1000</f>
        <v>0</v>
      </c>
      <c r="L607" s="19">
        <f>[1]TOBEPAID!L449/1000</f>
        <v>0</v>
      </c>
      <c r="M607" s="19">
        <f>[1]TOBEPAID!M449/1000</f>
        <v>0</v>
      </c>
      <c r="N607" s="19">
        <f>[1]TOBEPAID!N449/1000</f>
        <v>910</v>
      </c>
      <c r="O607" s="19">
        <f>[1]TOBEPAID!O449/1000</f>
        <v>0</v>
      </c>
      <c r="P607" s="19">
        <f>[1]TOBEPAID!P449/1000</f>
        <v>0</v>
      </c>
      <c r="Q607" s="19">
        <f>[1]TOBEPAID!Q449/1000</f>
        <v>0</v>
      </c>
      <c r="R607" s="19">
        <v>0</v>
      </c>
      <c r="S607" s="19">
        <f>[1]TOBEPAID!S449/1000</f>
        <v>0</v>
      </c>
      <c r="T607" s="19">
        <f>[1]TOBEPAID!T449/1000</f>
        <v>0</v>
      </c>
      <c r="U607" s="19">
        <f>[1]TOBEPAID!U449/1000</f>
        <v>0</v>
      </c>
      <c r="V607" s="19">
        <f>[1]TOBEPAID!V449/1000</f>
        <v>0</v>
      </c>
      <c r="W607" s="19">
        <f>[1]TOBEPAID!W449/1000</f>
        <v>0</v>
      </c>
      <c r="X607" s="19">
        <f>[1]TOBEPAID!X449/1000</f>
        <v>0</v>
      </c>
      <c r="Y607" s="19">
        <f t="shared" ref="Y607:Y612" si="112">+H607+R607</f>
        <v>910</v>
      </c>
      <c r="Z607" s="19">
        <f t="shared" ref="Z607:Z612" si="113">+D607-Y607</f>
        <v>0</v>
      </c>
      <c r="AA607" s="19">
        <f>[1]TOBEPAID!AA449/1000</f>
        <v>910</v>
      </c>
      <c r="AB607" s="19">
        <f>[1]TOBEPAID!AB449/1000</f>
        <v>0</v>
      </c>
      <c r="AC607" s="19"/>
      <c r="AD607" s="19"/>
      <c r="AE607" s="25" t="s">
        <v>201</v>
      </c>
      <c r="AF607" s="34">
        <f>D480+D510+D522+D537+D564+D593+D601+D602</f>
        <v>129027.519</v>
      </c>
      <c r="AG607" s="34">
        <f>E480+E510+E522+E537+E564+E593+E601+E602</f>
        <v>0</v>
      </c>
      <c r="AH607" s="34">
        <f>F480+F510+F522+F537+F564+F593+F601+F602</f>
        <v>0</v>
      </c>
      <c r="AI607" s="34">
        <f t="shared" si="106"/>
        <v>0</v>
      </c>
      <c r="AJ607" s="34">
        <f>L480+L510+L522+L537+L564+L593+L601+L602</f>
        <v>0</v>
      </c>
      <c r="AK607" s="34">
        <f t="shared" si="107"/>
        <v>0</v>
      </c>
      <c r="AL607" s="34">
        <f>O480+O510+O522+O537+O564+O593+O601+O602</f>
        <v>82692.090889999992</v>
      </c>
      <c r="AM607" s="34">
        <f>P480+P510+P522+P537+P564+P593+P601+P602</f>
        <v>0</v>
      </c>
      <c r="AN607" s="34">
        <f t="shared" si="108"/>
        <v>82692.090889999992</v>
      </c>
      <c r="AO607" s="34">
        <f>V480+V510+V522+V537+V564+V593+V601+V602</f>
        <v>0</v>
      </c>
      <c r="AP607" s="34">
        <f t="shared" si="109"/>
        <v>82692.090889999992</v>
      </c>
      <c r="AQ607" s="34">
        <f t="shared" si="110"/>
        <v>82692.090889999992</v>
      </c>
      <c r="AR607" s="34">
        <f t="shared" si="111"/>
        <v>46335.428110000008</v>
      </c>
      <c r="AS607" s="34">
        <f>+AG612-AR612</f>
        <v>19717.519860000004</v>
      </c>
    </row>
    <row r="608" spans="1:45" x14ac:dyDescent="0.2">
      <c r="A608" s="18"/>
      <c r="C608" s="3" t="s">
        <v>110</v>
      </c>
      <c r="D608" s="19">
        <f>95510000/1000</f>
        <v>95510</v>
      </c>
      <c r="E608" s="19"/>
      <c r="F608" s="19"/>
      <c r="G608" s="19"/>
      <c r="H608" s="19">
        <f>19849445/1000</f>
        <v>19849.445</v>
      </c>
      <c r="I608" s="19"/>
      <c r="J608" s="19"/>
      <c r="K608" s="19"/>
      <c r="L608" s="19"/>
      <c r="M608" s="19"/>
      <c r="N608" s="19"/>
      <c r="O608" s="19"/>
      <c r="P608" s="19"/>
      <c r="Q608" s="19"/>
      <c r="R608" s="19">
        <v>0</v>
      </c>
      <c r="S608" s="19"/>
      <c r="T608" s="19"/>
      <c r="U608" s="19"/>
      <c r="V608" s="19"/>
      <c r="W608" s="19"/>
      <c r="X608" s="19"/>
      <c r="Y608" s="19">
        <f t="shared" si="112"/>
        <v>19849.445</v>
      </c>
      <c r="Z608" s="19">
        <f t="shared" si="113"/>
        <v>75660.554999999993</v>
      </c>
      <c r="AA608" s="19"/>
      <c r="AB608" s="19"/>
      <c r="AC608" s="19"/>
      <c r="AD608" s="19"/>
      <c r="AE608" s="25"/>
      <c r="AF608" s="34"/>
      <c r="AG608" s="34"/>
      <c r="AH608" s="34"/>
      <c r="AI608" s="34"/>
      <c r="AJ608" s="34"/>
      <c r="AK608" s="34"/>
      <c r="AL608" s="34"/>
      <c r="AM608" s="34"/>
      <c r="AN608" s="34"/>
      <c r="AO608" s="34"/>
      <c r="AP608" s="34"/>
      <c r="AQ608" s="34"/>
      <c r="AR608" s="34"/>
      <c r="AS608" s="34"/>
    </row>
    <row r="609" spans="1:45" x14ac:dyDescent="0.2">
      <c r="A609" s="18"/>
      <c r="C609" s="3" t="s">
        <v>67</v>
      </c>
      <c r="D609" s="19">
        <f>2880111/1000</f>
        <v>2880.1109999999999</v>
      </c>
      <c r="E609" s="19"/>
      <c r="F609" s="19"/>
      <c r="G609" s="19"/>
      <c r="H609" s="19">
        <f>2880111/1000</f>
        <v>2880.1109999999999</v>
      </c>
      <c r="I609" s="19"/>
      <c r="J609" s="19"/>
      <c r="K609" s="19"/>
      <c r="L609" s="19"/>
      <c r="M609" s="19"/>
      <c r="N609" s="19"/>
      <c r="O609" s="19"/>
      <c r="P609" s="19"/>
      <c r="Q609" s="19"/>
      <c r="R609" s="19">
        <v>0</v>
      </c>
      <c r="S609" s="19"/>
      <c r="T609" s="19"/>
      <c r="U609" s="19"/>
      <c r="V609" s="19"/>
      <c r="W609" s="19"/>
      <c r="X609" s="19"/>
      <c r="Y609" s="19">
        <f t="shared" si="112"/>
        <v>2880.1109999999999</v>
      </c>
      <c r="Z609" s="19">
        <f t="shared" si="113"/>
        <v>0</v>
      </c>
      <c r="AA609" s="19"/>
      <c r="AB609" s="19"/>
      <c r="AC609" s="19"/>
      <c r="AD609" s="19"/>
      <c r="AE609" s="25"/>
      <c r="AF609" s="34"/>
      <c r="AG609" s="34"/>
      <c r="AH609" s="34"/>
      <c r="AI609" s="34"/>
      <c r="AJ609" s="34"/>
      <c r="AK609" s="34"/>
      <c r="AL609" s="34"/>
      <c r="AM609" s="34"/>
      <c r="AN609" s="34"/>
      <c r="AO609" s="34"/>
      <c r="AP609" s="34"/>
      <c r="AQ609" s="34"/>
      <c r="AR609" s="34"/>
      <c r="AS609" s="34"/>
    </row>
    <row r="610" spans="1:45" x14ac:dyDescent="0.2">
      <c r="A610" s="18"/>
      <c r="C610" s="3" t="s">
        <v>229</v>
      </c>
      <c r="D610" s="19">
        <f>6656726/1000</f>
        <v>6656.7259999999997</v>
      </c>
      <c r="E610" s="19"/>
      <c r="F610" s="19"/>
      <c r="G610" s="19"/>
      <c r="H610" s="19">
        <f>6656726/1000</f>
        <v>6656.7259999999997</v>
      </c>
      <c r="I610" s="19"/>
      <c r="J610" s="19"/>
      <c r="K610" s="19"/>
      <c r="L610" s="19"/>
      <c r="M610" s="19"/>
      <c r="N610" s="19"/>
      <c r="O610" s="19"/>
      <c r="P610" s="19"/>
      <c r="Q610" s="19"/>
      <c r="R610" s="19">
        <v>0</v>
      </c>
      <c r="S610" s="19"/>
      <c r="T610" s="19"/>
      <c r="U610" s="19"/>
      <c r="V610" s="19"/>
      <c r="W610" s="19"/>
      <c r="X610" s="19"/>
      <c r="Y610" s="19">
        <f t="shared" si="112"/>
        <v>6656.7259999999997</v>
      </c>
      <c r="Z610" s="19">
        <f t="shared" si="113"/>
        <v>0</v>
      </c>
      <c r="AA610" s="19"/>
      <c r="AB610" s="19"/>
      <c r="AC610" s="19"/>
      <c r="AD610" s="19"/>
      <c r="AE610" s="25"/>
      <c r="AF610" s="34"/>
      <c r="AG610" s="34"/>
      <c r="AH610" s="34"/>
      <c r="AI610" s="34"/>
      <c r="AJ610" s="34"/>
      <c r="AK610" s="34"/>
      <c r="AL610" s="34"/>
      <c r="AM610" s="34"/>
      <c r="AN610" s="34"/>
      <c r="AO610" s="34"/>
      <c r="AP610" s="34"/>
      <c r="AQ610" s="34"/>
      <c r="AR610" s="34"/>
      <c r="AS610" s="34"/>
    </row>
    <row r="611" spans="1:45" x14ac:dyDescent="0.2">
      <c r="A611" s="18"/>
      <c r="C611" s="3" t="s">
        <v>230</v>
      </c>
      <c r="D611" s="19">
        <f>11123956/1000</f>
        <v>11123.956</v>
      </c>
      <c r="E611" s="19"/>
      <c r="F611" s="19"/>
      <c r="G611" s="19"/>
      <c r="H611" s="19">
        <f>11123956/1000</f>
        <v>11123.956</v>
      </c>
      <c r="I611" s="19"/>
      <c r="J611" s="19"/>
      <c r="K611" s="19"/>
      <c r="L611" s="19"/>
      <c r="M611" s="19"/>
      <c r="N611" s="19"/>
      <c r="O611" s="19"/>
      <c r="P611" s="19"/>
      <c r="Q611" s="19"/>
      <c r="R611" s="19">
        <v>0</v>
      </c>
      <c r="S611" s="19"/>
      <c r="T611" s="19"/>
      <c r="U611" s="19"/>
      <c r="V611" s="19"/>
      <c r="W611" s="19"/>
      <c r="X611" s="19"/>
      <c r="Y611" s="19">
        <f t="shared" si="112"/>
        <v>11123.956</v>
      </c>
      <c r="Z611" s="19">
        <f t="shared" si="113"/>
        <v>0</v>
      </c>
      <c r="AA611" s="19"/>
      <c r="AB611" s="19"/>
      <c r="AC611" s="19"/>
      <c r="AD611" s="19"/>
      <c r="AE611" s="25"/>
      <c r="AF611" s="34"/>
      <c r="AG611" s="34"/>
      <c r="AH611" s="34"/>
      <c r="AI611" s="34"/>
      <c r="AJ611" s="34"/>
      <c r="AK611" s="34"/>
      <c r="AL611" s="34"/>
      <c r="AM611" s="34"/>
      <c r="AN611" s="34"/>
      <c r="AO611" s="34"/>
      <c r="AP611" s="34"/>
      <c r="AQ611" s="34"/>
      <c r="AR611" s="34"/>
      <c r="AS611" s="34"/>
    </row>
    <row r="612" spans="1:45" x14ac:dyDescent="0.2">
      <c r="C612" s="17" t="s">
        <v>51</v>
      </c>
      <c r="D612" s="19">
        <f>5404234/1000</f>
        <v>5404.2340000000004</v>
      </c>
      <c r="E612" s="19">
        <f>[1]TOBEPAID!E450/1000</f>
        <v>0</v>
      </c>
      <c r="F612" s="19">
        <f>[1]TOBEPAID!F450/1000</f>
        <v>0</v>
      </c>
      <c r="G612" s="19">
        <f>[1]TOBEPAID!G450/1000</f>
        <v>0</v>
      </c>
      <c r="H612" s="19">
        <f>5362000/1000</f>
        <v>5362</v>
      </c>
      <c r="I612" s="19">
        <f>[1]TOBEPAID!I450/1000</f>
        <v>0</v>
      </c>
      <c r="J612" s="19">
        <f>[1]TOBEPAID!J450/1000</f>
        <v>0</v>
      </c>
      <c r="K612" s="19">
        <f>[1]TOBEPAID!K450/1000</f>
        <v>0</v>
      </c>
      <c r="L612" s="19">
        <f>[1]TOBEPAID!L450/1000</f>
        <v>0</v>
      </c>
      <c r="M612" s="19">
        <f>[1]TOBEPAID!M450/1000</f>
        <v>0</v>
      </c>
      <c r="N612" s="19">
        <f>[1]TOBEPAID!N450/1000</f>
        <v>0</v>
      </c>
      <c r="O612" s="19">
        <f>[1]TOBEPAID!O450/1000</f>
        <v>0</v>
      </c>
      <c r="P612" s="19">
        <f>[1]TOBEPAID!P450/1000</f>
        <v>0</v>
      </c>
      <c r="Q612" s="19">
        <f>[1]TOBEPAID!Q450/1000</f>
        <v>0</v>
      </c>
      <c r="R612" s="19">
        <v>0</v>
      </c>
      <c r="S612" s="19">
        <f>[1]TOBEPAID!S450/1000</f>
        <v>0</v>
      </c>
      <c r="T612" s="19">
        <f>[1]TOBEPAID!T450/1000</f>
        <v>0</v>
      </c>
      <c r="U612" s="19">
        <f>[1]TOBEPAID!U450/1000</f>
        <v>0</v>
      </c>
      <c r="V612" s="19">
        <f>[1]TOBEPAID!V450/1000</f>
        <v>0</v>
      </c>
      <c r="W612" s="19">
        <f>[1]TOBEPAID!W450/1000</f>
        <v>0</v>
      </c>
      <c r="X612" s="19">
        <f>[1]TOBEPAID!X450/1000</f>
        <v>0</v>
      </c>
      <c r="Y612" s="19">
        <f t="shared" si="112"/>
        <v>5362</v>
      </c>
      <c r="Z612" s="19">
        <f t="shared" si="113"/>
        <v>42.234000000000378</v>
      </c>
      <c r="AA612" s="19">
        <f>[1]TOBEPAID!AA450/1000</f>
        <v>0</v>
      </c>
      <c r="AB612" s="19">
        <f>[1]TOBEPAID!AB450/1000</f>
        <v>5404.2346799999996</v>
      </c>
      <c r="AC612" s="19"/>
      <c r="AD612" s="19"/>
      <c r="AE612" s="25" t="s">
        <v>96</v>
      </c>
      <c r="AF612" s="34">
        <f>+D520+D531+D572</f>
        <v>19717.516</v>
      </c>
      <c r="AG612" s="34">
        <f>+E520+E531+E572</f>
        <v>19717.517930000002</v>
      </c>
      <c r="AH612" s="34">
        <f>+F520+F531+F572</f>
        <v>0</v>
      </c>
      <c r="AI612" s="34">
        <f>+AG612+AH612</f>
        <v>19717.517930000002</v>
      </c>
      <c r="AJ612" s="34">
        <f>+L531+L531+L572</f>
        <v>0</v>
      </c>
      <c r="AK612" s="34">
        <f>+AI612+AJ612</f>
        <v>19717.517930000002</v>
      </c>
      <c r="AL612" s="34">
        <f>+O531+O572</f>
        <v>0</v>
      </c>
      <c r="AM612" s="34">
        <f>+P531+P572</f>
        <v>0</v>
      </c>
      <c r="AN612" s="34">
        <f>+AL612+AM612</f>
        <v>0</v>
      </c>
      <c r="AO612" s="34">
        <f>+V531+V572</f>
        <v>0</v>
      </c>
      <c r="AP612" s="34">
        <f>+AN612+AO612:AO612</f>
        <v>0</v>
      </c>
      <c r="AQ612" s="34">
        <f>+AI612+AN612</f>
        <v>19717.517930000002</v>
      </c>
      <c r="AR612" s="34">
        <f>+AF612-AQ612</f>
        <v>-1.9300000021758024E-3</v>
      </c>
    </row>
    <row r="613" spans="1:45" x14ac:dyDescent="0.2">
      <c r="D613" s="21" t="s">
        <v>57</v>
      </c>
      <c r="E613" s="21" t="s">
        <v>57</v>
      </c>
      <c r="F613" s="21" t="s">
        <v>57</v>
      </c>
      <c r="G613" s="21"/>
      <c r="H613" s="21" t="s">
        <v>57</v>
      </c>
      <c r="I613" s="21" t="s">
        <v>57</v>
      </c>
      <c r="J613" s="21" t="s">
        <v>57</v>
      </c>
      <c r="K613" s="21" t="s">
        <v>57</v>
      </c>
      <c r="L613" s="21" t="s">
        <v>57</v>
      </c>
      <c r="M613" s="21"/>
      <c r="N613" s="21" t="s">
        <v>57</v>
      </c>
      <c r="O613" s="21" t="s">
        <v>57</v>
      </c>
      <c r="P613" s="21" t="s">
        <v>57</v>
      </c>
      <c r="Q613" s="21"/>
      <c r="R613" s="21" t="s">
        <v>57</v>
      </c>
      <c r="S613" s="21" t="s">
        <v>57</v>
      </c>
      <c r="T613" s="21" t="s">
        <v>57</v>
      </c>
      <c r="U613" s="21" t="s">
        <v>57</v>
      </c>
      <c r="V613" s="21" t="s">
        <v>57</v>
      </c>
      <c r="W613" s="21"/>
      <c r="X613" s="21" t="s">
        <v>57</v>
      </c>
      <c r="Y613" s="21" t="s">
        <v>57</v>
      </c>
      <c r="Z613" s="21" t="s">
        <v>57</v>
      </c>
      <c r="AA613" s="21" t="s">
        <v>57</v>
      </c>
      <c r="AB613" s="21" t="s">
        <v>57</v>
      </c>
      <c r="AC613" s="21"/>
      <c r="AD613" s="21"/>
      <c r="AE613" s="25" t="s">
        <v>231</v>
      </c>
      <c r="AS613" s="34">
        <f>+AF614-AK614-AP614</f>
        <v>2603.8951099999977</v>
      </c>
    </row>
    <row r="614" spans="1:45" x14ac:dyDescent="0.2">
      <c r="D614" s="30">
        <f>SUM(D607:D612)</f>
        <v>122485.027</v>
      </c>
      <c r="E614" s="30">
        <f>SUM(E607:E612)</f>
        <v>910</v>
      </c>
      <c r="F614" s="30">
        <f>SUM(F607:F612)</f>
        <v>0</v>
      </c>
      <c r="G614" s="30"/>
      <c r="H614" s="30">
        <f>SUM(H607:H612)</f>
        <v>46782.237999999998</v>
      </c>
      <c r="I614" s="30">
        <f>SUM(I607:I612)</f>
        <v>0</v>
      </c>
      <c r="J614" s="30">
        <f>SUM(J607:J612)</f>
        <v>0</v>
      </c>
      <c r="K614" s="30">
        <f>SUM(K607:K612)</f>
        <v>0</v>
      </c>
      <c r="L614" s="30">
        <f>SUM(L607:L612)</f>
        <v>0</v>
      </c>
      <c r="M614" s="30"/>
      <c r="N614" s="30">
        <f>SUM(N607:N612)</f>
        <v>910</v>
      </c>
      <c r="O614" s="30">
        <f>SUM(O607:O612)</f>
        <v>0</v>
      </c>
      <c r="P614" s="30">
        <f>SUM(P607:P612)</f>
        <v>0</v>
      </c>
      <c r="Q614" s="30"/>
      <c r="R614" s="30">
        <f>SUM(R607:R612)</f>
        <v>0</v>
      </c>
      <c r="S614" s="30">
        <f>SUM(S607:S612)</f>
        <v>0</v>
      </c>
      <c r="T614" s="30">
        <f>SUM(T607:T612)</f>
        <v>0</v>
      </c>
      <c r="U614" s="30">
        <f>SUM(U607:U612)</f>
        <v>0</v>
      </c>
      <c r="V614" s="30">
        <f>SUM(V607:V612)</f>
        <v>0</v>
      </c>
      <c r="W614" s="30"/>
      <c r="X614" s="30">
        <f>SUM(X607:X612)</f>
        <v>0</v>
      </c>
      <c r="Y614" s="30">
        <f>SUM(Y607:Y612)</f>
        <v>46782.237999999998</v>
      </c>
      <c r="Z614" s="30">
        <f>SUM(Z607:Z612)</f>
        <v>75702.78899999999</v>
      </c>
      <c r="AA614" s="30">
        <f>SUM(AA607:AA612)</f>
        <v>910</v>
      </c>
      <c r="AB614" s="30">
        <f>SUM(AB607:AB612)</f>
        <v>5404.2346799999996</v>
      </c>
      <c r="AC614" s="30"/>
      <c r="AD614" s="30"/>
      <c r="AF614" s="34">
        <f>D481+D511+D523+D538+D594</f>
        <v>64201.57703</v>
      </c>
      <c r="AG614" s="34">
        <f>E481+E511+E523+E538+E594</f>
        <v>0</v>
      </c>
      <c r="AH614" s="34">
        <f>F481+F511+F523+F538+F594</f>
        <v>0</v>
      </c>
      <c r="AI614" s="34">
        <f>+AG614+AH614</f>
        <v>0</v>
      </c>
      <c r="AJ614" s="34">
        <f>H481+H511+H523+H538+H594</f>
        <v>3000</v>
      </c>
      <c r="AK614" s="34">
        <f>+AI614+AJ614</f>
        <v>3000</v>
      </c>
      <c r="AL614" s="34">
        <f>O481+O511+O523+O538+O594</f>
        <v>58597.681920000003</v>
      </c>
      <c r="AM614" s="34">
        <f>P481+P511+P523+P538+P594</f>
        <v>0</v>
      </c>
      <c r="AN614" s="34">
        <f>+AL614+AM614</f>
        <v>58597.681920000003</v>
      </c>
      <c r="AO614" s="34">
        <f>V481+V511+V523+V538+V594</f>
        <v>0</v>
      </c>
      <c r="AP614" s="34">
        <f>+AN614+AO614:AO614</f>
        <v>58597.681920000003</v>
      </c>
      <c r="AQ614" s="34">
        <f>+AI614+AN614</f>
        <v>58597.681920000003</v>
      </c>
      <c r="AR614" s="34">
        <f>+AF614-AQ614</f>
        <v>5603.8951099999977</v>
      </c>
      <c r="AS614" s="34">
        <f>SUM(AS595:AS613)</f>
        <v>398672.68948999984</v>
      </c>
    </row>
    <row r="615" spans="1:45" x14ac:dyDescent="0.2">
      <c r="A615" s="18"/>
      <c r="D615" s="21" t="s">
        <v>57</v>
      </c>
      <c r="E615" s="21" t="s">
        <v>57</v>
      </c>
      <c r="F615" s="21" t="s">
        <v>57</v>
      </c>
      <c r="G615" s="21"/>
      <c r="H615" s="21" t="s">
        <v>57</v>
      </c>
      <c r="I615" s="21" t="s">
        <v>57</v>
      </c>
      <c r="J615" s="21" t="s">
        <v>57</v>
      </c>
      <c r="K615" s="21" t="s">
        <v>57</v>
      </c>
      <c r="L615" s="21" t="s">
        <v>57</v>
      </c>
      <c r="M615" s="21"/>
      <c r="N615" s="21" t="s">
        <v>57</v>
      </c>
      <c r="O615" s="21" t="s">
        <v>57</v>
      </c>
      <c r="P615" s="21" t="s">
        <v>57</v>
      </c>
      <c r="Q615" s="21"/>
      <c r="R615" s="21" t="s">
        <v>57</v>
      </c>
      <c r="S615" s="21" t="s">
        <v>57</v>
      </c>
      <c r="T615" s="21" t="s">
        <v>57</v>
      </c>
      <c r="U615" s="21" t="s">
        <v>57</v>
      </c>
      <c r="V615" s="21" t="s">
        <v>57</v>
      </c>
      <c r="W615" s="21"/>
      <c r="X615" s="21" t="s">
        <v>57</v>
      </c>
      <c r="Y615" s="21" t="s">
        <v>57</v>
      </c>
      <c r="Z615" s="21" t="s">
        <v>57</v>
      </c>
      <c r="AA615" s="21" t="s">
        <v>57</v>
      </c>
      <c r="AB615" s="21" t="s">
        <v>57</v>
      </c>
      <c r="AC615" s="21"/>
      <c r="AD615" s="21"/>
      <c r="AE615" s="25" t="s">
        <v>97</v>
      </c>
      <c r="AF615" s="34">
        <f t="shared" ref="AF615:AR615" si="114">SUM(AF596:AF614)</f>
        <v>675877.62411999993</v>
      </c>
      <c r="AG615" s="34">
        <f t="shared" si="114"/>
        <v>123933.44157</v>
      </c>
      <c r="AH615" s="34">
        <f t="shared" si="114"/>
        <v>0</v>
      </c>
      <c r="AI615" s="34">
        <f t="shared" si="114"/>
        <v>123933.44157</v>
      </c>
      <c r="AJ615" s="34">
        <f t="shared" si="114"/>
        <v>3000</v>
      </c>
      <c r="AK615" s="34">
        <f t="shared" si="114"/>
        <v>126933.44157</v>
      </c>
      <c r="AL615" s="34">
        <f t="shared" si="114"/>
        <v>169989.01485000001</v>
      </c>
      <c r="AM615" s="34">
        <f t="shared" si="114"/>
        <v>0</v>
      </c>
      <c r="AN615" s="34">
        <f t="shared" si="114"/>
        <v>169989.01485000001</v>
      </c>
      <c r="AO615" s="34">
        <f t="shared" si="114"/>
        <v>0</v>
      </c>
      <c r="AP615" s="34">
        <f t="shared" si="114"/>
        <v>169989.01485000001</v>
      </c>
      <c r="AQ615" s="34">
        <f t="shared" si="114"/>
        <v>293922.45642</v>
      </c>
      <c r="AR615" s="34">
        <f t="shared" si="114"/>
        <v>381955.16769999982</v>
      </c>
    </row>
    <row r="616" spans="1:45" x14ac:dyDescent="0.2">
      <c r="A616" s="18"/>
      <c r="B616" s="41" t="s">
        <v>121</v>
      </c>
      <c r="C616" s="41" t="s">
        <v>203</v>
      </c>
      <c r="D616" s="35">
        <f>D472+D484+D499+D513+D525+D540+D549+D561+D575+D586+D596+D605+D614</f>
        <v>3766709.5405200003</v>
      </c>
      <c r="E616" s="35">
        <f>E472+E484+E499+E513+E525+E540+E549+E561+E575+E586+E596+E605+E614</f>
        <v>123933.44157</v>
      </c>
      <c r="F616" s="35">
        <f>F472+F484+F499+F513+F525+F540+F549+F561+F575+F586+F596+F605+F614</f>
        <v>0</v>
      </c>
      <c r="G616" s="35"/>
      <c r="H616" s="35">
        <f>H472+H484+H499+H513+H525+H540+H549+H561+H575+H586+H596+H605+H614</f>
        <v>3285085.1903100004</v>
      </c>
      <c r="I616" s="35">
        <f>I472+I484+I499+I513+I525+I540+I549+I561+I575+I586+I596+I605+I614</f>
        <v>0</v>
      </c>
      <c r="J616" s="35">
        <f>J472+J484+J499+J513+J525+J540+J549+J561+J575+J586+J596+J605+J614</f>
        <v>0</v>
      </c>
      <c r="K616" s="35">
        <f>K472+K484+K499+K513+K525+K540+K549+K561+K575+K586+K596+K605+K614</f>
        <v>0</v>
      </c>
      <c r="L616" s="35">
        <f>L472+L484+L499+L513+L525+L540+L549+L561+L575+L586+L596+L605+L614</f>
        <v>0</v>
      </c>
      <c r="M616" s="35"/>
      <c r="N616" s="35">
        <f>N472+N484+N499+N513+N525+N540+N549+N561+N575+N586+N596+N605+N614</f>
        <v>123933.44157</v>
      </c>
      <c r="O616" s="35">
        <f>O472+O484+O499+O513+O525+O540+O549+O561+O575+O586+O596+O605+O614</f>
        <v>169989.01484999998</v>
      </c>
      <c r="P616" s="35">
        <f>P472+P484+P499+P513+P525+P540+P549+P561+P575+P586+P596+P605+P614</f>
        <v>0</v>
      </c>
      <c r="Q616" s="35"/>
      <c r="R616" s="35">
        <f>R472+R484+R499+R513+R525+R540+R549+R561+R575+R586+R596+R605+R614</f>
        <v>175155.29417000004</v>
      </c>
      <c r="S616" s="35">
        <f>S472+S484+S499+S513+S525+S540+S549+S561+S575+S586+S596+S605+S614</f>
        <v>0</v>
      </c>
      <c r="T616" s="35">
        <f>T472+T484+T499+T513+T525+T540+T549+T561+T575+T586+T596+T605+T614</f>
        <v>0</v>
      </c>
      <c r="U616" s="35">
        <f>U472+U484+U499+U513+U525+U540+U549+U561+U575+U586+U596+U605+U614</f>
        <v>0</v>
      </c>
      <c r="V616" s="35">
        <f>V472+V484+V499+V513+V525+V540+V549+V561+V575+V586+V596+V605+V614</f>
        <v>0</v>
      </c>
      <c r="W616" s="35"/>
      <c r="X616" s="35">
        <f>X472+X484+X499+X513+X525+X540+X549+X561+X575+X586+X596+X605+X614</f>
        <v>169989.01484999998</v>
      </c>
      <c r="Y616" s="35">
        <f>Y472+Y484+Y499+Y513+Y525+Y540+Y549+Y561+Y575+Y586+Y596+Y605+Y614</f>
        <v>3460240.4844800001</v>
      </c>
      <c r="Z616" s="35">
        <f>Z472+Z484+Z499+Z513+Z525+Z540+Z549+Z561+Z575+Z586+Z596+Z605+Z614</f>
        <v>306469.05625999998</v>
      </c>
      <c r="AA616" s="35">
        <f>AA472+AA484+AA499+AA513+AA525+AA540+AA549+AA561+AA575+AA586+AA596+AA605+AA614</f>
        <v>293922.45642000006</v>
      </c>
      <c r="AB616" s="35">
        <f>AB472+AB484+AB499+AB513+AB525+AB540+AB549+AB561+AB575+AB586+AB596+AB605+AB614</f>
        <v>393210.72782000003</v>
      </c>
      <c r="AC616" s="35"/>
      <c r="AD616" s="35"/>
    </row>
    <row r="617" spans="1:45" x14ac:dyDescent="0.2">
      <c r="A617" s="18"/>
      <c r="D617" s="21" t="s">
        <v>93</v>
      </c>
      <c r="E617" s="21" t="s">
        <v>93</v>
      </c>
      <c r="F617" s="21" t="s">
        <v>93</v>
      </c>
      <c r="G617" s="21"/>
      <c r="H617" s="21" t="s">
        <v>93</v>
      </c>
      <c r="I617" s="21" t="s">
        <v>93</v>
      </c>
      <c r="J617" s="21" t="s">
        <v>93</v>
      </c>
      <c r="K617" s="21" t="s">
        <v>93</v>
      </c>
      <c r="L617" s="21" t="s">
        <v>93</v>
      </c>
      <c r="M617" s="21"/>
      <c r="N617" s="21" t="s">
        <v>93</v>
      </c>
      <c r="O617" s="21" t="s">
        <v>93</v>
      </c>
      <c r="P617" s="21" t="s">
        <v>93</v>
      </c>
      <c r="Q617" s="21"/>
      <c r="R617" s="21" t="s">
        <v>93</v>
      </c>
      <c r="S617" s="21" t="s">
        <v>93</v>
      </c>
      <c r="T617" s="21" t="s">
        <v>93</v>
      </c>
      <c r="U617" s="21" t="s">
        <v>93</v>
      </c>
      <c r="V617" s="21" t="s">
        <v>93</v>
      </c>
      <c r="W617" s="21"/>
      <c r="X617" s="21" t="s">
        <v>93</v>
      </c>
      <c r="Y617" s="21" t="s">
        <v>93</v>
      </c>
      <c r="Z617" s="21" t="s">
        <v>93</v>
      </c>
      <c r="AA617" s="21" t="s">
        <v>93</v>
      </c>
      <c r="AB617" s="21" t="s">
        <v>93</v>
      </c>
      <c r="AC617" s="21"/>
      <c r="AD617" s="21"/>
      <c r="AE617" s="43"/>
    </row>
    <row r="618" spans="1:45" x14ac:dyDescent="0.2">
      <c r="A618" s="18"/>
      <c r="C618" s="25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</row>
    <row r="619" spans="1:45" x14ac:dyDescent="0.2">
      <c r="A619" s="18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</row>
    <row r="620" spans="1:45" x14ac:dyDescent="0.2">
      <c r="A620" s="18"/>
      <c r="B620" s="17" t="s">
        <v>232</v>
      </c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</row>
    <row r="621" spans="1:45" x14ac:dyDescent="0.2">
      <c r="A621" s="18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</row>
    <row r="622" spans="1:45" x14ac:dyDescent="0.2">
      <c r="A622" s="18">
        <v>45</v>
      </c>
      <c r="B622" s="17" t="s">
        <v>233</v>
      </c>
      <c r="C622" s="17" t="s">
        <v>51</v>
      </c>
      <c r="D622" s="19">
        <f>61936042.23/1000</f>
        <v>61936.042229999999</v>
      </c>
      <c r="E622" s="19">
        <f>[1]TOBEPAID!E460/1000</f>
        <v>0</v>
      </c>
      <c r="F622" s="19">
        <f>[1]TOBEPAID!F460/1000</f>
        <v>0</v>
      </c>
      <c r="G622" s="19">
        <f>[1]TOBEPAID!G460/1000</f>
        <v>0</v>
      </c>
      <c r="H622" s="19">
        <v>0</v>
      </c>
      <c r="I622" s="19">
        <f>[1]TOBEPAID!I460/1000</f>
        <v>0</v>
      </c>
      <c r="J622" s="19">
        <f>[1]TOBEPAID!J460/1000</f>
        <v>0</v>
      </c>
      <c r="K622" s="19">
        <f>[1]TOBEPAID!K460/1000</f>
        <v>0</v>
      </c>
      <c r="L622" s="19">
        <f>[1]TOBEPAID!L460/1000</f>
        <v>0</v>
      </c>
      <c r="M622" s="19">
        <f>[1]TOBEPAID!M460/1000</f>
        <v>0</v>
      </c>
      <c r="N622" s="19">
        <f>[1]TOBEPAID!N460/1000</f>
        <v>0</v>
      </c>
      <c r="O622" s="19">
        <f>[1]TOBEPAID!O460/1000</f>
        <v>128.25638999999998</v>
      </c>
      <c r="P622" s="19">
        <f>[1]TOBEPAID!P460/1000</f>
        <v>0</v>
      </c>
      <c r="Q622" s="19">
        <f>[1]TOBEPAID!Q460/1000</f>
        <v>0</v>
      </c>
      <c r="R622" s="19">
        <f>26962326/1000</f>
        <v>26962.326000000001</v>
      </c>
      <c r="S622" s="19">
        <f>[1]TOBEPAID!S460/1000</f>
        <v>0</v>
      </c>
      <c r="T622" s="19">
        <f>[1]TOBEPAID!T460/1000</f>
        <v>0</v>
      </c>
      <c r="U622" s="19">
        <f>[1]TOBEPAID!U460/1000</f>
        <v>0</v>
      </c>
      <c r="V622" s="19">
        <f>[1]TOBEPAID!V460/1000</f>
        <v>0</v>
      </c>
      <c r="W622" s="19">
        <f>[1]TOBEPAID!W460/1000</f>
        <v>0</v>
      </c>
      <c r="X622" s="19">
        <f>[1]TOBEPAID!X460/1000</f>
        <v>128.25638999999998</v>
      </c>
      <c r="Y622" s="19">
        <f t="shared" ref="Y622:Y627" si="115">+H622+R622</f>
        <v>26962.326000000001</v>
      </c>
      <c r="Z622" s="19">
        <f t="shared" ref="Z622:Z627" si="116">+D622-Y622</f>
        <v>34973.716229999998</v>
      </c>
      <c r="AA622" s="19">
        <f>[1]TOBEPAID!AA460/1000</f>
        <v>128.25638999999998</v>
      </c>
      <c r="AB622" s="19">
        <f>[1]TOBEPAID!AB460/1000</f>
        <v>1501.3693500000002</v>
      </c>
      <c r="AC622" s="19"/>
      <c r="AD622" s="19"/>
    </row>
    <row r="623" spans="1:45" x14ac:dyDescent="0.2">
      <c r="A623" s="18"/>
      <c r="C623" s="20" t="s">
        <v>52</v>
      </c>
      <c r="D623" s="19">
        <f>1849609.58/1000</f>
        <v>1849.6095800000001</v>
      </c>
      <c r="E623" s="19">
        <f>[1]TOBEPAID!E461/1000</f>
        <v>1849.6095800000001</v>
      </c>
      <c r="F623" s="19">
        <f>[1]TOBEPAID!F461/1000</f>
        <v>0</v>
      </c>
      <c r="G623" s="19">
        <f>[1]TOBEPAID!G461/1000</f>
        <v>0</v>
      </c>
      <c r="H623" s="19">
        <f>1849609/1000</f>
        <v>1849.6089999999999</v>
      </c>
      <c r="I623" s="19">
        <f>[1]TOBEPAID!I461/1000</f>
        <v>0</v>
      </c>
      <c r="J623" s="19">
        <f>[1]TOBEPAID!J461/1000</f>
        <v>0</v>
      </c>
      <c r="K623" s="19">
        <f>[1]TOBEPAID!K461/1000</f>
        <v>0</v>
      </c>
      <c r="L623" s="19">
        <f>[1]TOBEPAID!L461/1000</f>
        <v>0</v>
      </c>
      <c r="M623" s="19">
        <f>[1]TOBEPAID!M461/1000</f>
        <v>0</v>
      </c>
      <c r="N623" s="19">
        <f>[1]TOBEPAID!N461/1000</f>
        <v>1849.6095800000001</v>
      </c>
      <c r="O623" s="19">
        <f>[1]TOBEPAID!O461/1000</f>
        <v>0</v>
      </c>
      <c r="P623" s="19">
        <f>[1]TOBEPAID!P461/1000</f>
        <v>0</v>
      </c>
      <c r="Q623" s="19">
        <f>[1]TOBEPAID!Q461/1000</f>
        <v>0</v>
      </c>
      <c r="R623" s="19">
        <v>0</v>
      </c>
      <c r="S623" s="19">
        <f>[1]TOBEPAID!S461/1000</f>
        <v>0</v>
      </c>
      <c r="T623" s="19">
        <f>[1]TOBEPAID!T461/1000</f>
        <v>0</v>
      </c>
      <c r="U623" s="19">
        <f>[1]TOBEPAID!U461/1000</f>
        <v>0</v>
      </c>
      <c r="V623" s="19">
        <f>[1]TOBEPAID!V461/1000</f>
        <v>0</v>
      </c>
      <c r="W623" s="19">
        <f>[1]TOBEPAID!W461/1000</f>
        <v>0</v>
      </c>
      <c r="X623" s="19">
        <f>[1]TOBEPAID!X461/1000</f>
        <v>0</v>
      </c>
      <c r="Y623" s="19">
        <f t="shared" si="115"/>
        <v>1849.6089999999999</v>
      </c>
      <c r="Z623" s="19">
        <f t="shared" si="116"/>
        <v>5.800000001272565E-4</v>
      </c>
      <c r="AA623" s="19">
        <f>[1]TOBEPAID!AA461/1000</f>
        <v>1849.6095800000001</v>
      </c>
      <c r="AB623" s="19">
        <f>[1]TOBEPAID!AB461/1000</f>
        <v>0</v>
      </c>
      <c r="AC623" s="19"/>
      <c r="AD623" s="19"/>
    </row>
    <row r="624" spans="1:45" x14ac:dyDescent="0.2">
      <c r="A624" s="18"/>
      <c r="C624" s="17" t="s">
        <v>67</v>
      </c>
      <c r="D624" s="19">
        <f>100000000/1000</f>
        <v>100000</v>
      </c>
      <c r="E624" s="19"/>
      <c r="F624" s="19"/>
      <c r="G624" s="19"/>
      <c r="H624" s="19">
        <f>100000000/1000</f>
        <v>100000</v>
      </c>
      <c r="I624" s="19"/>
      <c r="J624" s="19"/>
      <c r="K624" s="19"/>
      <c r="L624" s="19"/>
      <c r="M624" s="19"/>
      <c r="N624" s="19"/>
      <c r="O624" s="19"/>
      <c r="P624" s="19"/>
      <c r="Q624" s="19"/>
      <c r="R624" s="19">
        <v>0</v>
      </c>
      <c r="S624" s="19"/>
      <c r="T624" s="19"/>
      <c r="U624" s="19"/>
      <c r="V624" s="19"/>
      <c r="W624" s="19"/>
      <c r="X624" s="19"/>
      <c r="Y624" s="19">
        <f t="shared" si="115"/>
        <v>100000</v>
      </c>
      <c r="Z624" s="19">
        <f t="shared" si="116"/>
        <v>0</v>
      </c>
      <c r="AA624" s="19"/>
      <c r="AB624" s="19"/>
      <c r="AC624" s="19"/>
      <c r="AD624" s="19"/>
    </row>
    <row r="625" spans="1:30" x14ac:dyDescent="0.2">
      <c r="A625" s="18"/>
      <c r="C625" s="54" t="s">
        <v>167</v>
      </c>
      <c r="D625" s="19">
        <f>8523000/1000</f>
        <v>8523</v>
      </c>
      <c r="E625" s="19">
        <f>[1]TOBEPAID!E462/1000</f>
        <v>8523</v>
      </c>
      <c r="F625" s="19">
        <f>[1]TOBEPAID!F462/1000</f>
        <v>0</v>
      </c>
      <c r="G625" s="19">
        <f>[1]TOBEPAID!G462/1000</f>
        <v>0</v>
      </c>
      <c r="H625" s="19">
        <f>8523000/1000</f>
        <v>8523</v>
      </c>
      <c r="I625" s="19">
        <f>[1]TOBEPAID!I462/1000</f>
        <v>0</v>
      </c>
      <c r="J625" s="19">
        <f>[1]TOBEPAID!J462/1000</f>
        <v>0</v>
      </c>
      <c r="K625" s="19">
        <f>[1]TOBEPAID!K462/1000</f>
        <v>0</v>
      </c>
      <c r="L625" s="19">
        <f>[1]TOBEPAID!L462/1000</f>
        <v>0</v>
      </c>
      <c r="M625" s="19">
        <f>[1]TOBEPAID!M462/1000</f>
        <v>0</v>
      </c>
      <c r="N625" s="19">
        <f>[1]TOBEPAID!N462/1000</f>
        <v>8523</v>
      </c>
      <c r="O625" s="19">
        <f>[1]TOBEPAID!O462/1000</f>
        <v>0</v>
      </c>
      <c r="P625" s="19">
        <f>[1]TOBEPAID!P462/1000</f>
        <v>0</v>
      </c>
      <c r="Q625" s="19">
        <f>[1]TOBEPAID!Q462/1000</f>
        <v>0</v>
      </c>
      <c r="R625" s="19">
        <v>0</v>
      </c>
      <c r="S625" s="19">
        <f>[1]TOBEPAID!S462/1000</f>
        <v>0</v>
      </c>
      <c r="T625" s="19">
        <f>[1]TOBEPAID!T462/1000</f>
        <v>0</v>
      </c>
      <c r="U625" s="19">
        <f>[1]TOBEPAID!U462/1000</f>
        <v>0</v>
      </c>
      <c r="V625" s="19">
        <f>[1]TOBEPAID!V462/1000</f>
        <v>0</v>
      </c>
      <c r="W625" s="19">
        <f>[1]TOBEPAID!W462/1000</f>
        <v>0</v>
      </c>
      <c r="X625" s="19">
        <f>[1]TOBEPAID!X462/1000</f>
        <v>0</v>
      </c>
      <c r="Y625" s="19">
        <f t="shared" si="115"/>
        <v>8523</v>
      </c>
      <c r="Z625" s="19">
        <f t="shared" si="116"/>
        <v>0</v>
      </c>
      <c r="AA625" s="19">
        <f>[1]TOBEPAID!AA462/1000</f>
        <v>8523</v>
      </c>
      <c r="AB625" s="19">
        <f>[1]TOBEPAID!AB462/1000</f>
        <v>0</v>
      </c>
      <c r="AC625" s="19"/>
      <c r="AD625" s="19"/>
    </row>
    <row r="626" spans="1:30" x14ac:dyDescent="0.2">
      <c r="A626" s="18"/>
      <c r="C626" s="54" t="s">
        <v>234</v>
      </c>
      <c r="D626" s="19">
        <f>40679000/1000</f>
        <v>40679</v>
      </c>
      <c r="E626" s="19"/>
      <c r="F626" s="19"/>
      <c r="G626" s="19"/>
      <c r="H626" s="19">
        <f>40679000/1000</f>
        <v>40679</v>
      </c>
      <c r="I626" s="19"/>
      <c r="J626" s="19"/>
      <c r="K626" s="19"/>
      <c r="L626" s="19"/>
      <c r="M626" s="19"/>
      <c r="N626" s="19"/>
      <c r="O626" s="19"/>
      <c r="P626" s="19"/>
      <c r="Q626" s="19"/>
      <c r="R626" s="19">
        <v>0</v>
      </c>
      <c r="S626" s="19"/>
      <c r="T626" s="19"/>
      <c r="U626" s="19"/>
      <c r="V626" s="19"/>
      <c r="W626" s="19"/>
      <c r="X626" s="19"/>
      <c r="Y626" s="19">
        <f t="shared" si="115"/>
        <v>40679</v>
      </c>
      <c r="Z626" s="19">
        <f t="shared" si="116"/>
        <v>0</v>
      </c>
      <c r="AA626" s="19"/>
      <c r="AB626" s="19"/>
      <c r="AC626" s="19"/>
      <c r="AD626" s="19"/>
    </row>
    <row r="627" spans="1:30" x14ac:dyDescent="0.2">
      <c r="A627" s="18"/>
      <c r="C627" s="54" t="s">
        <v>201</v>
      </c>
      <c r="D627" s="19">
        <f>17785000/1000</f>
        <v>17785</v>
      </c>
      <c r="E627" s="19"/>
      <c r="F627" s="19"/>
      <c r="G627" s="19"/>
      <c r="H627" s="19">
        <f>17785000/1000</f>
        <v>17785</v>
      </c>
      <c r="I627" s="19"/>
      <c r="J627" s="19"/>
      <c r="K627" s="19"/>
      <c r="L627" s="19"/>
      <c r="M627" s="19"/>
      <c r="N627" s="19"/>
      <c r="O627" s="19"/>
      <c r="P627" s="19"/>
      <c r="Q627" s="19"/>
      <c r="R627" s="19">
        <v>0</v>
      </c>
      <c r="S627" s="19"/>
      <c r="T627" s="19"/>
      <c r="U627" s="19"/>
      <c r="V627" s="19"/>
      <c r="W627" s="19"/>
      <c r="X627" s="19"/>
      <c r="Y627" s="19">
        <f t="shared" si="115"/>
        <v>17785</v>
      </c>
      <c r="Z627" s="19">
        <f t="shared" si="116"/>
        <v>0</v>
      </c>
      <c r="AA627" s="19"/>
      <c r="AB627" s="19"/>
      <c r="AC627" s="19"/>
      <c r="AD627" s="19"/>
    </row>
    <row r="628" spans="1:30" x14ac:dyDescent="0.2">
      <c r="A628" s="18"/>
      <c r="B628" s="9"/>
      <c r="D628" s="21" t="s">
        <v>57</v>
      </c>
      <c r="E628" s="21" t="s">
        <v>57</v>
      </c>
      <c r="F628" s="21" t="s">
        <v>57</v>
      </c>
      <c r="G628" s="21"/>
      <c r="H628" s="21" t="s">
        <v>57</v>
      </c>
      <c r="I628" s="21" t="s">
        <v>57</v>
      </c>
      <c r="J628" s="21" t="s">
        <v>57</v>
      </c>
      <c r="K628" s="21" t="s">
        <v>57</v>
      </c>
      <c r="L628" s="21" t="s">
        <v>57</v>
      </c>
      <c r="M628" s="21"/>
      <c r="N628" s="21" t="s">
        <v>57</v>
      </c>
      <c r="O628" s="21" t="s">
        <v>57</v>
      </c>
      <c r="P628" s="21" t="s">
        <v>57</v>
      </c>
      <c r="Q628" s="21"/>
      <c r="R628" s="21" t="s">
        <v>57</v>
      </c>
      <c r="S628" s="21" t="s">
        <v>57</v>
      </c>
      <c r="T628" s="21" t="s">
        <v>57</v>
      </c>
      <c r="U628" s="21" t="s">
        <v>57</v>
      </c>
      <c r="V628" s="21" t="s">
        <v>57</v>
      </c>
      <c r="W628" s="21"/>
      <c r="X628" s="21" t="s">
        <v>57</v>
      </c>
      <c r="Y628" s="21" t="s">
        <v>57</v>
      </c>
      <c r="Z628" s="21" t="s">
        <v>57</v>
      </c>
      <c r="AA628" s="21" t="s">
        <v>57</v>
      </c>
      <c r="AB628" s="21" t="s">
        <v>57</v>
      </c>
      <c r="AC628" s="21"/>
      <c r="AD628" s="21"/>
    </row>
    <row r="629" spans="1:30" x14ac:dyDescent="0.2">
      <c r="A629" s="18"/>
      <c r="B629" s="9"/>
      <c r="D629" s="19">
        <f>SUM(D622:D627)</f>
        <v>230772.65181000001</v>
      </c>
      <c r="E629" s="19">
        <f>SUM(E622:E625)</f>
        <v>10372.60958</v>
      </c>
      <c r="F629" s="19">
        <f>SUM(F622:F625)</f>
        <v>0</v>
      </c>
      <c r="G629" s="19"/>
      <c r="H629" s="19">
        <f>SUM(H622:H627)</f>
        <v>168836.609</v>
      </c>
      <c r="I629" s="19">
        <f>SUM(I622:I625)</f>
        <v>0</v>
      </c>
      <c r="J629" s="19">
        <f>SUM(J622:J625)</f>
        <v>0</v>
      </c>
      <c r="K629" s="19">
        <f>SUM(K622:K625)</f>
        <v>0</v>
      </c>
      <c r="L629" s="19">
        <f>SUM(L622:L625)</f>
        <v>0</v>
      </c>
      <c r="M629" s="19"/>
      <c r="N629" s="19">
        <f>SUM(N622:N625)</f>
        <v>10372.60958</v>
      </c>
      <c r="O629" s="19">
        <f>SUM(O622:O625)</f>
        <v>128.25638999999998</v>
      </c>
      <c r="P629" s="19">
        <f>SUM(P622:P625)</f>
        <v>0</v>
      </c>
      <c r="Q629" s="19"/>
      <c r="R629" s="19">
        <f>SUM(R622:R627)</f>
        <v>26962.326000000001</v>
      </c>
      <c r="S629" s="19">
        <f>SUM(S622:S625)</f>
        <v>0</v>
      </c>
      <c r="T629" s="19">
        <f>SUM(T622:T625)</f>
        <v>0</v>
      </c>
      <c r="U629" s="19">
        <f>SUM(U622:U625)</f>
        <v>0</v>
      </c>
      <c r="V629" s="19">
        <f>SUM(V622:V625)</f>
        <v>0</v>
      </c>
      <c r="W629" s="19"/>
      <c r="X629" s="19">
        <f>SUM(X622:X625)</f>
        <v>128.25638999999998</v>
      </c>
      <c r="Y629" s="19">
        <f>SUM(Y622:Y627)</f>
        <v>195798.935</v>
      </c>
      <c r="Z629" s="19">
        <f>SUM(Z622:Z627)</f>
        <v>34973.716809999998</v>
      </c>
      <c r="AA629" s="19">
        <f>SUM(AA622:AA625)</f>
        <v>10500.865970000001</v>
      </c>
      <c r="AB629" s="19">
        <f>SUM(AB622:AB625)</f>
        <v>1501.3693500000002</v>
      </c>
      <c r="AC629" s="19"/>
      <c r="AD629" s="19"/>
    </row>
    <row r="630" spans="1:30" x14ac:dyDescent="0.2">
      <c r="A630" s="18"/>
      <c r="D630" s="21" t="s">
        <v>57</v>
      </c>
      <c r="E630" s="21" t="s">
        <v>57</v>
      </c>
      <c r="F630" s="21" t="s">
        <v>57</v>
      </c>
      <c r="G630" s="21"/>
      <c r="H630" s="21" t="s">
        <v>57</v>
      </c>
      <c r="I630" s="21" t="s">
        <v>57</v>
      </c>
      <c r="J630" s="21" t="s">
        <v>57</v>
      </c>
      <c r="K630" s="21" t="s">
        <v>57</v>
      </c>
      <c r="L630" s="21" t="s">
        <v>57</v>
      </c>
      <c r="M630" s="21"/>
      <c r="N630" s="21" t="s">
        <v>57</v>
      </c>
      <c r="O630" s="21" t="s">
        <v>57</v>
      </c>
      <c r="P630" s="21" t="s">
        <v>57</v>
      </c>
      <c r="Q630" s="21"/>
      <c r="R630" s="21" t="s">
        <v>57</v>
      </c>
      <c r="S630" s="21" t="s">
        <v>57</v>
      </c>
      <c r="T630" s="21" t="s">
        <v>57</v>
      </c>
      <c r="U630" s="21" t="s">
        <v>57</v>
      </c>
      <c r="V630" s="21" t="s">
        <v>57</v>
      </c>
      <c r="W630" s="21"/>
      <c r="X630" s="21" t="s">
        <v>57</v>
      </c>
      <c r="Y630" s="21" t="s">
        <v>57</v>
      </c>
      <c r="Z630" s="21" t="s">
        <v>57</v>
      </c>
      <c r="AA630" s="21" t="s">
        <v>57</v>
      </c>
      <c r="AB630" s="21" t="s">
        <v>57</v>
      </c>
      <c r="AC630" s="21"/>
      <c r="AD630" s="21"/>
    </row>
    <row r="631" spans="1:30" x14ac:dyDescent="0.2">
      <c r="A631" s="18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1:30" x14ac:dyDescent="0.2">
      <c r="A632" s="18">
        <v>46</v>
      </c>
      <c r="B632" s="17" t="s">
        <v>235</v>
      </c>
      <c r="C632" s="17" t="s">
        <v>51</v>
      </c>
      <c r="D632" s="19">
        <f>3484147/1000</f>
        <v>3484.1469999999999</v>
      </c>
      <c r="E632" s="19">
        <f>[1]TOBEPAID!E479/1000</f>
        <v>0</v>
      </c>
      <c r="F632" s="19">
        <f>[1]TOBEPAID!F479/1000</f>
        <v>0</v>
      </c>
      <c r="G632" s="19">
        <f>[1]TOBEPAID!G479/1000</f>
        <v>0</v>
      </c>
      <c r="H632" s="19">
        <f>2700000/1000</f>
        <v>2700</v>
      </c>
      <c r="I632" s="19">
        <f>[1]TOBEPAID!I479/1000</f>
        <v>0</v>
      </c>
      <c r="J632" s="19">
        <f>[1]TOBEPAID!J479/1000</f>
        <v>0</v>
      </c>
      <c r="K632" s="19">
        <f>[1]TOBEPAID!K479/1000</f>
        <v>0</v>
      </c>
      <c r="L632" s="19">
        <f>[1]TOBEPAID!L479/1000</f>
        <v>0</v>
      </c>
      <c r="M632" s="19">
        <f>[1]TOBEPAID!M479/1000</f>
        <v>0</v>
      </c>
      <c r="N632" s="19">
        <f>[1]TOBEPAID!N479/1000</f>
        <v>0</v>
      </c>
      <c r="O632" s="19">
        <f>[1]TOBEPAID!O479/1000</f>
        <v>752.23023999999998</v>
      </c>
      <c r="P632" s="19">
        <f>[1]TOBEPAID!P479/1000</f>
        <v>0</v>
      </c>
      <c r="Q632" s="19">
        <f>[1]TOBEPAID!Q479/1000</f>
        <v>0</v>
      </c>
      <c r="R632" s="19">
        <f>1956745/1000</f>
        <v>1956.7449999999999</v>
      </c>
      <c r="S632" s="19">
        <f>[1]TOBEPAID!S479/1000</f>
        <v>0</v>
      </c>
      <c r="T632" s="19">
        <f>[1]TOBEPAID!T479/1000</f>
        <v>0</v>
      </c>
      <c r="U632" s="19">
        <f>[1]TOBEPAID!U479/1000</f>
        <v>0</v>
      </c>
      <c r="V632" s="19">
        <f>[1]TOBEPAID!V479/1000</f>
        <v>0</v>
      </c>
      <c r="W632" s="19">
        <f>[1]TOBEPAID!W479/1000</f>
        <v>0</v>
      </c>
      <c r="X632" s="19">
        <f>[1]TOBEPAID!X479/1000</f>
        <v>752.23023999999998</v>
      </c>
      <c r="Y632" s="19">
        <f>+H632+R632</f>
        <v>4656.7449999999999</v>
      </c>
      <c r="Z632" s="19">
        <f t="shared" ref="Z632:Z642" si="117">+D632-Y632</f>
        <v>-1172.598</v>
      </c>
      <c r="AA632" s="19">
        <f>[1]TOBEPAID!AA479/1000</f>
        <v>752.23023999999998</v>
      </c>
      <c r="AB632" s="19">
        <f>[1]TOBEPAID!AB479/1000</f>
        <v>0</v>
      </c>
      <c r="AC632" s="19"/>
      <c r="AD632" s="19"/>
    </row>
    <row r="633" spans="1:30" x14ac:dyDescent="0.2">
      <c r="A633" s="18"/>
      <c r="C633" s="20" t="s">
        <v>52</v>
      </c>
      <c r="D633" s="19">
        <f>2012276/1000</f>
        <v>2012.2760000000001</v>
      </c>
      <c r="E633" s="19">
        <f>[1]TOBEPAID!E480/1000</f>
        <v>2012.27694</v>
      </c>
      <c r="F633" s="19">
        <f>[1]TOBEPAID!F480/1000</f>
        <v>0</v>
      </c>
      <c r="G633" s="19">
        <f>[1]TOBEPAID!G480/1000</f>
        <v>0</v>
      </c>
      <c r="H633" s="19">
        <f>2012276/1000</f>
        <v>2012.2760000000001</v>
      </c>
      <c r="I633" s="19">
        <f>[1]TOBEPAID!I480/1000</f>
        <v>0</v>
      </c>
      <c r="J633" s="19">
        <f>[1]TOBEPAID!J480/1000</f>
        <v>0</v>
      </c>
      <c r="K633" s="19">
        <f>[1]TOBEPAID!K480/1000</f>
        <v>0</v>
      </c>
      <c r="L633" s="19">
        <f>[1]TOBEPAID!L480/1000</f>
        <v>0</v>
      </c>
      <c r="M633" s="19">
        <f>[1]TOBEPAID!M480/1000</f>
        <v>0</v>
      </c>
      <c r="N633" s="19">
        <f>[1]TOBEPAID!N480/1000</f>
        <v>2012.27694</v>
      </c>
      <c r="O633" s="19">
        <f>[1]TOBEPAID!O480/1000</f>
        <v>0</v>
      </c>
      <c r="P633" s="19">
        <f>[1]TOBEPAID!P480/1000</f>
        <v>0</v>
      </c>
      <c r="Q633" s="19">
        <f>[1]TOBEPAID!Q480/1000</f>
        <v>0</v>
      </c>
      <c r="R633" s="19">
        <v>0</v>
      </c>
      <c r="S633" s="19">
        <f>[1]TOBEPAID!S480/1000</f>
        <v>0</v>
      </c>
      <c r="T633" s="19">
        <f>[1]TOBEPAID!T480/1000</f>
        <v>0</v>
      </c>
      <c r="U633" s="19">
        <f>[1]TOBEPAID!U480/1000</f>
        <v>0</v>
      </c>
      <c r="V633" s="19">
        <f>[1]TOBEPAID!V480/1000</f>
        <v>0</v>
      </c>
      <c r="W633" s="19">
        <f>[1]TOBEPAID!W480/1000</f>
        <v>0</v>
      </c>
      <c r="X633" s="19">
        <f>[1]TOBEPAID!X480/1000</f>
        <v>0</v>
      </c>
      <c r="Y633" s="19">
        <f t="shared" ref="Y633:Y642" si="118">+H633+R633</f>
        <v>2012.2760000000001</v>
      </c>
      <c r="Z633" s="19">
        <f t="shared" si="117"/>
        <v>0</v>
      </c>
      <c r="AA633" s="19">
        <f>[1]TOBEPAID!AA480/1000</f>
        <v>2012.27694</v>
      </c>
      <c r="AB633" s="19">
        <f>[1]TOBEPAID!AB480/1000</f>
        <v>0</v>
      </c>
      <c r="AC633" s="19"/>
      <c r="AD633" s="19"/>
    </row>
    <row r="634" spans="1:30" x14ac:dyDescent="0.2">
      <c r="A634" s="18"/>
      <c r="C634" s="17" t="s">
        <v>200</v>
      </c>
      <c r="D634" s="19">
        <v>0</v>
      </c>
      <c r="E634" s="19">
        <f>[1]TOBEPAID!E481/1000</f>
        <v>0</v>
      </c>
      <c r="F634" s="19">
        <f>[1]TOBEPAID!F481/1000</f>
        <v>0</v>
      </c>
      <c r="G634" s="19">
        <f>[1]TOBEPAID!G481/1000</f>
        <v>0</v>
      </c>
      <c r="H634" s="19">
        <v>0</v>
      </c>
      <c r="I634" s="19">
        <f>[1]TOBEPAID!I481/1000</f>
        <v>0</v>
      </c>
      <c r="J634" s="19">
        <f>[1]TOBEPAID!J481/1000</f>
        <v>0</v>
      </c>
      <c r="K634" s="19">
        <f>[1]TOBEPAID!K481/1000</f>
        <v>0</v>
      </c>
      <c r="L634" s="19">
        <f>[1]TOBEPAID!L481/1000</f>
        <v>0</v>
      </c>
      <c r="M634" s="19">
        <f>[1]TOBEPAID!M481/1000</f>
        <v>0</v>
      </c>
      <c r="N634" s="19">
        <f>[1]TOBEPAID!N481/1000</f>
        <v>0</v>
      </c>
      <c r="O634" s="19">
        <f>[1]TOBEPAID!O481/1000</f>
        <v>0</v>
      </c>
      <c r="P634" s="19">
        <f>[1]TOBEPAID!P481/1000</f>
        <v>0</v>
      </c>
      <c r="Q634" s="19">
        <f>[1]TOBEPAID!Q481/1000</f>
        <v>0</v>
      </c>
      <c r="R634" s="19">
        <v>0</v>
      </c>
      <c r="S634" s="19">
        <f>[1]TOBEPAID!S481/1000</f>
        <v>0</v>
      </c>
      <c r="T634" s="19">
        <f>[1]TOBEPAID!T481/1000</f>
        <v>0</v>
      </c>
      <c r="U634" s="19">
        <f>[1]TOBEPAID!U481/1000</f>
        <v>0</v>
      </c>
      <c r="V634" s="19">
        <f>[1]TOBEPAID!V481/1000</f>
        <v>0</v>
      </c>
      <c r="W634" s="19">
        <f>[1]TOBEPAID!W481/1000</f>
        <v>0</v>
      </c>
      <c r="X634" s="19">
        <f>[1]TOBEPAID!X481/1000</f>
        <v>0</v>
      </c>
      <c r="Y634" s="19">
        <f t="shared" si="118"/>
        <v>0</v>
      </c>
      <c r="Z634" s="19">
        <f t="shared" si="117"/>
        <v>0</v>
      </c>
      <c r="AA634" s="19">
        <f>[1]TOBEPAID!AA481/1000</f>
        <v>0</v>
      </c>
      <c r="AB634" s="19">
        <f>[1]TOBEPAID!AB481/1000</f>
        <v>1695.3683000000001</v>
      </c>
      <c r="AC634" s="19"/>
      <c r="AD634" s="19"/>
    </row>
    <row r="635" spans="1:30" x14ac:dyDescent="0.2">
      <c r="A635" s="18"/>
      <c r="C635" s="17" t="s">
        <v>54</v>
      </c>
      <c r="D635" s="19">
        <f>1493185/1000</f>
        <v>1493.1849999999999</v>
      </c>
      <c r="E635" s="19">
        <f>[1]TOBEPAID!E482/1000</f>
        <v>0</v>
      </c>
      <c r="F635" s="19">
        <f>[1]TOBEPAID!F482/1000</f>
        <v>0</v>
      </c>
      <c r="G635" s="19">
        <f>[1]TOBEPAID!G482/1000</f>
        <v>0</v>
      </c>
      <c r="H635" s="19">
        <v>0</v>
      </c>
      <c r="I635" s="19">
        <f>[1]TOBEPAID!I482/1000</f>
        <v>0</v>
      </c>
      <c r="J635" s="19">
        <f>[1]TOBEPAID!J482/1000</f>
        <v>0</v>
      </c>
      <c r="K635" s="19">
        <f>[1]TOBEPAID!K482/1000</f>
        <v>0</v>
      </c>
      <c r="L635" s="19">
        <f>[1]TOBEPAID!L482/1000</f>
        <v>0</v>
      </c>
      <c r="M635" s="19">
        <f>[1]TOBEPAID!M482/1000</f>
        <v>0</v>
      </c>
      <c r="N635" s="19">
        <f>[1]TOBEPAID!N482/1000</f>
        <v>0</v>
      </c>
      <c r="O635" s="19">
        <f>[1]TOBEPAID!O482/1000</f>
        <v>1493.1859500000003</v>
      </c>
      <c r="P635" s="19">
        <f>[1]TOBEPAID!P482/1000</f>
        <v>0</v>
      </c>
      <c r="Q635" s="19">
        <f>[1]TOBEPAID!Q482/1000</f>
        <v>0</v>
      </c>
      <c r="R635" s="19">
        <f>1493185/1000</f>
        <v>1493.1849999999999</v>
      </c>
      <c r="S635" s="19">
        <f>[1]TOBEPAID!S482/1000</f>
        <v>1426.22037</v>
      </c>
      <c r="T635" s="19">
        <f>[1]TOBEPAID!T482/1000</f>
        <v>0</v>
      </c>
      <c r="U635" s="19">
        <f>[1]TOBEPAID!U482/1000</f>
        <v>0</v>
      </c>
      <c r="V635" s="19">
        <f>[1]TOBEPAID!V482/1000</f>
        <v>0</v>
      </c>
      <c r="W635" s="19">
        <f>[1]TOBEPAID!W482/1000</f>
        <v>0</v>
      </c>
      <c r="X635" s="19">
        <f>[1]TOBEPAID!X482/1000</f>
        <v>1493.1859500000003</v>
      </c>
      <c r="Y635" s="19">
        <f t="shared" si="118"/>
        <v>1493.1849999999999</v>
      </c>
      <c r="Z635" s="19">
        <f t="shared" si="117"/>
        <v>0</v>
      </c>
      <c r="AA635" s="19">
        <f>[1]TOBEPAID!AA482/1000</f>
        <v>1493.1859500000003</v>
      </c>
      <c r="AB635" s="19">
        <f>[1]TOBEPAID!AB482/1000</f>
        <v>13.642419999999925</v>
      </c>
      <c r="AC635" s="19"/>
      <c r="AD635" s="19"/>
    </row>
    <row r="636" spans="1:30" x14ac:dyDescent="0.2">
      <c r="A636" s="18"/>
      <c r="C636" s="17" t="s">
        <v>65</v>
      </c>
      <c r="D636" s="19">
        <f>4600000/1000</f>
        <v>4600</v>
      </c>
      <c r="E636" s="19"/>
      <c r="F636" s="19"/>
      <c r="G636" s="19"/>
      <c r="H636" s="19">
        <f>4600000/1000</f>
        <v>4600</v>
      </c>
      <c r="I636" s="19"/>
      <c r="J636" s="19"/>
      <c r="K636" s="19"/>
      <c r="L636" s="19"/>
      <c r="M636" s="19"/>
      <c r="N636" s="19"/>
      <c r="O636" s="19"/>
      <c r="P636" s="19"/>
      <c r="Q636" s="19"/>
      <c r="R636" s="19">
        <v>0</v>
      </c>
      <c r="S636" s="19"/>
      <c r="T636" s="19"/>
      <c r="U636" s="19"/>
      <c r="V636" s="19"/>
      <c r="W636" s="19"/>
      <c r="X636" s="19"/>
      <c r="Y636" s="19">
        <f>+H636+R636</f>
        <v>4600</v>
      </c>
      <c r="Z636" s="19">
        <f t="shared" si="117"/>
        <v>0</v>
      </c>
      <c r="AA636" s="19"/>
      <c r="AB636" s="19"/>
      <c r="AC636" s="19"/>
      <c r="AD636" s="19"/>
    </row>
    <row r="637" spans="1:30" x14ac:dyDescent="0.2">
      <c r="A637" s="18"/>
      <c r="C637" s="17" t="s">
        <v>66</v>
      </c>
      <c r="D637" s="19">
        <f>9938114.23/1000</f>
        <v>9938.114230000001</v>
      </c>
      <c r="E637" s="19"/>
      <c r="F637" s="19"/>
      <c r="G637" s="19"/>
      <c r="H637" s="19">
        <f>9938114.23/1000</f>
        <v>9938.114230000001</v>
      </c>
      <c r="I637" s="19"/>
      <c r="J637" s="19"/>
      <c r="K637" s="19"/>
      <c r="L637" s="19"/>
      <c r="M637" s="19"/>
      <c r="N637" s="19"/>
      <c r="O637" s="19"/>
      <c r="P637" s="19"/>
      <c r="Q637" s="19"/>
      <c r="R637" s="19">
        <v>0</v>
      </c>
      <c r="S637" s="19"/>
      <c r="T637" s="19"/>
      <c r="U637" s="19"/>
      <c r="V637" s="19"/>
      <c r="W637" s="19"/>
      <c r="X637" s="19"/>
      <c r="Y637" s="19">
        <f>+H637+R637</f>
        <v>9938.114230000001</v>
      </c>
      <c r="Z637" s="19">
        <f t="shared" si="117"/>
        <v>0</v>
      </c>
      <c r="AA637" s="19"/>
      <c r="AB637" s="19"/>
      <c r="AC637" s="19"/>
      <c r="AD637" s="19"/>
    </row>
    <row r="638" spans="1:30" x14ac:dyDescent="0.2">
      <c r="A638" s="18"/>
      <c r="C638" s="17" t="s">
        <v>136</v>
      </c>
      <c r="D638" s="19">
        <f>11500000/1000</f>
        <v>11500</v>
      </c>
      <c r="E638" s="19"/>
      <c r="F638" s="19"/>
      <c r="G638" s="19"/>
      <c r="H638" s="19">
        <f>11500000/1000</f>
        <v>11500</v>
      </c>
      <c r="I638" s="19"/>
      <c r="J638" s="19"/>
      <c r="K638" s="19"/>
      <c r="L638" s="19"/>
      <c r="M638" s="19"/>
      <c r="N638" s="19"/>
      <c r="O638" s="19"/>
      <c r="P638" s="19"/>
      <c r="Q638" s="19"/>
      <c r="R638" s="19">
        <v>0</v>
      </c>
      <c r="S638" s="19"/>
      <c r="T638" s="19"/>
      <c r="U638" s="19"/>
      <c r="V638" s="19"/>
      <c r="W638" s="19"/>
      <c r="X638" s="19"/>
      <c r="Y638" s="19">
        <f>+H638+R638</f>
        <v>11500</v>
      </c>
      <c r="Z638" s="19">
        <f t="shared" si="117"/>
        <v>0</v>
      </c>
      <c r="AA638" s="19"/>
      <c r="AB638" s="19"/>
      <c r="AC638" s="19"/>
      <c r="AD638" s="19"/>
    </row>
    <row r="639" spans="1:30" x14ac:dyDescent="0.2">
      <c r="C639" s="17" t="s">
        <v>67</v>
      </c>
      <c r="D639" s="19">
        <f>8500000/1000</f>
        <v>8500</v>
      </c>
      <c r="E639" s="19">
        <f>[1]TOBEPAID!E483/1000</f>
        <v>8500</v>
      </c>
      <c r="F639" s="19">
        <f>[1]TOBEPAID!F483/1000</f>
        <v>0</v>
      </c>
      <c r="G639" s="19">
        <f>[1]TOBEPAID!G483/1000</f>
        <v>0</v>
      </c>
      <c r="H639" s="19">
        <f>8500000/1000</f>
        <v>8500</v>
      </c>
      <c r="I639" s="19">
        <f>[1]TOBEPAID!I483/1000</f>
        <v>0</v>
      </c>
      <c r="J639" s="19">
        <f>[1]TOBEPAID!J483/1000</f>
        <v>0</v>
      </c>
      <c r="K639" s="19">
        <f>[1]TOBEPAID!K483/1000</f>
        <v>0</v>
      </c>
      <c r="L639" s="19">
        <f>[1]TOBEPAID!L483/1000</f>
        <v>0</v>
      </c>
      <c r="M639" s="19">
        <f>[1]TOBEPAID!M483/1000</f>
        <v>0</v>
      </c>
      <c r="N639" s="19">
        <f>[1]TOBEPAID!N483/1000</f>
        <v>8500</v>
      </c>
      <c r="O639" s="19">
        <f>[1]TOBEPAID!O483/1000</f>
        <v>0</v>
      </c>
      <c r="P639" s="19">
        <f>[1]TOBEPAID!P483/1000</f>
        <v>0</v>
      </c>
      <c r="Q639" s="19">
        <f>[1]TOBEPAID!Q483/1000</f>
        <v>0</v>
      </c>
      <c r="R639" s="19">
        <v>0</v>
      </c>
      <c r="S639" s="19">
        <f>[1]TOBEPAID!S483/1000</f>
        <v>0</v>
      </c>
      <c r="T639" s="19">
        <f>[1]TOBEPAID!T483/1000</f>
        <v>0</v>
      </c>
      <c r="U639" s="19">
        <f>[1]TOBEPAID!U483/1000</f>
        <v>0</v>
      </c>
      <c r="V639" s="19">
        <f>[1]TOBEPAID!V483/1000</f>
        <v>0</v>
      </c>
      <c r="W639" s="19">
        <f>[1]TOBEPAID!W483/1000</f>
        <v>0</v>
      </c>
      <c r="X639" s="19">
        <f>[1]TOBEPAID!X483/1000</f>
        <v>0</v>
      </c>
      <c r="Y639" s="19">
        <f t="shared" si="118"/>
        <v>8500</v>
      </c>
      <c r="Z639" s="19">
        <f t="shared" si="117"/>
        <v>0</v>
      </c>
      <c r="AA639" s="19">
        <f>[1]TOBEPAID!AA483/1000</f>
        <v>8500</v>
      </c>
      <c r="AB639" s="19">
        <f>[1]TOBEPAID!AB483/1000</f>
        <v>0</v>
      </c>
      <c r="AC639" s="19"/>
      <c r="AD639" s="19"/>
    </row>
    <row r="640" spans="1:30" x14ac:dyDescent="0.2">
      <c r="C640" s="17" t="s">
        <v>128</v>
      </c>
      <c r="D640" s="19">
        <f>201174750.09/1000</f>
        <v>201174.75009000002</v>
      </c>
      <c r="E640" s="19"/>
      <c r="F640" s="19"/>
      <c r="G640" s="19"/>
      <c r="H640" s="19">
        <f>201174750.09/1000</f>
        <v>201174.75009000002</v>
      </c>
      <c r="I640" s="19"/>
      <c r="J640" s="19"/>
      <c r="K640" s="19"/>
      <c r="L640" s="19"/>
      <c r="M640" s="19"/>
      <c r="N640" s="19"/>
      <c r="O640" s="19"/>
      <c r="P640" s="19"/>
      <c r="Q640" s="19"/>
      <c r="R640" s="19">
        <v>0</v>
      </c>
      <c r="S640" s="19"/>
      <c r="T640" s="19"/>
      <c r="U640" s="19"/>
      <c r="V640" s="19"/>
      <c r="W640" s="19"/>
      <c r="X640" s="19"/>
      <c r="Y640" s="19">
        <f t="shared" si="118"/>
        <v>201174.75009000002</v>
      </c>
      <c r="Z640" s="19">
        <f>+D640-Y640</f>
        <v>0</v>
      </c>
      <c r="AA640" s="19"/>
      <c r="AB640" s="19"/>
      <c r="AC640" s="19"/>
      <c r="AD640" s="19"/>
    </row>
    <row r="641" spans="1:30" x14ac:dyDescent="0.2">
      <c r="A641" s="18"/>
      <c r="C641" s="17" t="s">
        <v>55</v>
      </c>
      <c r="D641" s="19">
        <v>15.65</v>
      </c>
      <c r="E641" s="19">
        <f>[1]TOBEPAID!E484/1000</f>
        <v>0</v>
      </c>
      <c r="F641" s="19">
        <f>[1]TOBEPAID!F484/1000</f>
        <v>0</v>
      </c>
      <c r="G641" s="19">
        <f>[1]TOBEPAID!G484/1000</f>
        <v>0</v>
      </c>
      <c r="H641" s="19">
        <v>0</v>
      </c>
      <c r="I641" s="19">
        <f>[1]TOBEPAID!I484/1000</f>
        <v>0</v>
      </c>
      <c r="J641" s="19">
        <f>[1]TOBEPAID!J484/1000</f>
        <v>0</v>
      </c>
      <c r="K641" s="19">
        <f>[1]TOBEPAID!K484/1000</f>
        <v>0</v>
      </c>
      <c r="L641" s="19">
        <f>[1]TOBEPAID!L484/1000</f>
        <v>0</v>
      </c>
      <c r="M641" s="19">
        <f>[1]TOBEPAID!M484/1000</f>
        <v>0</v>
      </c>
      <c r="N641" s="19">
        <f>[1]TOBEPAID!N484/1000</f>
        <v>0</v>
      </c>
      <c r="O641" s="19">
        <f>[1]TOBEPAID!O484/1000</f>
        <v>15.65</v>
      </c>
      <c r="P641" s="19">
        <f>[1]TOBEPAID!P484/1000</f>
        <v>0</v>
      </c>
      <c r="Q641" s="19">
        <f>[1]TOBEPAID!Q484/1000</f>
        <v>0</v>
      </c>
      <c r="R641" s="19">
        <v>15.65</v>
      </c>
      <c r="S641" s="19">
        <f>[1]TOBEPAID!S484/1000</f>
        <v>0</v>
      </c>
      <c r="T641" s="19">
        <f>[1]TOBEPAID!T484/1000</f>
        <v>0</v>
      </c>
      <c r="U641" s="19">
        <f>[1]TOBEPAID!U484/1000</f>
        <v>0</v>
      </c>
      <c r="V641" s="19">
        <f>[1]TOBEPAID!V484/1000</f>
        <v>0</v>
      </c>
      <c r="W641" s="19">
        <f>[1]TOBEPAID!W484/1000</f>
        <v>0</v>
      </c>
      <c r="X641" s="19">
        <f>[1]TOBEPAID!X484/1000</f>
        <v>15.65</v>
      </c>
      <c r="Y641" s="19">
        <f t="shared" si="118"/>
        <v>15.65</v>
      </c>
      <c r="Z641" s="19">
        <f t="shared" si="117"/>
        <v>0</v>
      </c>
      <c r="AA641" s="19">
        <f>[1]TOBEPAID!AA484/1000</f>
        <v>15.65</v>
      </c>
      <c r="AB641" s="19">
        <f>[1]TOBEPAID!AB484/1000</f>
        <v>134.98170000000002</v>
      </c>
      <c r="AC641" s="19"/>
      <c r="AD641" s="19"/>
    </row>
    <row r="642" spans="1:30" x14ac:dyDescent="0.2">
      <c r="A642" s="18"/>
      <c r="C642" s="31" t="s">
        <v>56</v>
      </c>
      <c r="D642" s="19">
        <v>0</v>
      </c>
      <c r="E642" s="19">
        <f>[1]TOBEPAID!E485/1000</f>
        <v>0</v>
      </c>
      <c r="F642" s="19">
        <f>[1]TOBEPAID!F485/1000</f>
        <v>0</v>
      </c>
      <c r="G642" s="19">
        <f>[1]TOBEPAID!G485/1000</f>
        <v>0</v>
      </c>
      <c r="H642" s="19">
        <v>0</v>
      </c>
      <c r="I642" s="19">
        <f>[1]TOBEPAID!I485/1000</f>
        <v>0</v>
      </c>
      <c r="J642" s="19">
        <f>[1]TOBEPAID!J485/1000</f>
        <v>0</v>
      </c>
      <c r="K642" s="19">
        <f>[1]TOBEPAID!K485/1000</f>
        <v>0</v>
      </c>
      <c r="L642" s="19">
        <f>[1]TOBEPAID!L485/1000</f>
        <v>0</v>
      </c>
      <c r="M642" s="19">
        <f>[1]TOBEPAID!M485/1000</f>
        <v>0</v>
      </c>
      <c r="N642" s="19">
        <f>[1]TOBEPAID!N485/1000</f>
        <v>0</v>
      </c>
      <c r="O642" s="19">
        <f>[1]TOBEPAID!O485/1000</f>
        <v>0</v>
      </c>
      <c r="P642" s="19">
        <f>[1]TOBEPAID!P485/1000</f>
        <v>0</v>
      </c>
      <c r="Q642" s="19">
        <f>[1]TOBEPAID!Q485/1000</f>
        <v>0</v>
      </c>
      <c r="R642" s="19">
        <v>0</v>
      </c>
      <c r="S642" s="19">
        <f>[1]TOBEPAID!S485/1000</f>
        <v>0</v>
      </c>
      <c r="T642" s="19">
        <f>[1]TOBEPAID!T485/1000</f>
        <v>0</v>
      </c>
      <c r="U642" s="19">
        <f>[1]TOBEPAID!U485/1000</f>
        <v>0</v>
      </c>
      <c r="V642" s="19">
        <f>[1]TOBEPAID!V485/1000</f>
        <v>0</v>
      </c>
      <c r="W642" s="19">
        <f>[1]TOBEPAID!W485/1000</f>
        <v>0</v>
      </c>
      <c r="X642" s="19">
        <f>[1]TOBEPAID!X485/1000</f>
        <v>0</v>
      </c>
      <c r="Y642" s="19">
        <f t="shared" si="118"/>
        <v>0</v>
      </c>
      <c r="Z642" s="19">
        <f t="shared" si="117"/>
        <v>0</v>
      </c>
      <c r="AA642" s="19">
        <f>[1]TOBEPAID!AA485/1000</f>
        <v>0</v>
      </c>
      <c r="AB642" s="19">
        <f>[1]TOBEPAID!AB485/1000</f>
        <v>887.92472999999995</v>
      </c>
      <c r="AC642" s="19"/>
      <c r="AD642" s="19"/>
    </row>
    <row r="643" spans="1:30" x14ac:dyDescent="0.2">
      <c r="A643" s="18"/>
      <c r="D643" s="21" t="s">
        <v>57</v>
      </c>
      <c r="E643" s="21" t="s">
        <v>57</v>
      </c>
      <c r="F643" s="21" t="s">
        <v>57</v>
      </c>
      <c r="G643" s="21"/>
      <c r="H643" s="21" t="s">
        <v>57</v>
      </c>
      <c r="I643" s="21" t="s">
        <v>57</v>
      </c>
      <c r="J643" s="21" t="s">
        <v>57</v>
      </c>
      <c r="K643" s="21" t="s">
        <v>57</v>
      </c>
      <c r="L643" s="21" t="s">
        <v>57</v>
      </c>
      <c r="M643" s="21"/>
      <c r="N643" s="21" t="s">
        <v>57</v>
      </c>
      <c r="O643" s="21" t="s">
        <v>57</v>
      </c>
      <c r="P643" s="21" t="s">
        <v>57</v>
      </c>
      <c r="Q643" s="21"/>
      <c r="R643" s="21" t="s">
        <v>57</v>
      </c>
      <c r="S643" s="21" t="s">
        <v>57</v>
      </c>
      <c r="T643" s="21" t="s">
        <v>57</v>
      </c>
      <c r="U643" s="21" t="s">
        <v>57</v>
      </c>
      <c r="V643" s="21" t="s">
        <v>57</v>
      </c>
      <c r="W643" s="21"/>
      <c r="X643" s="21" t="s">
        <v>57</v>
      </c>
      <c r="Y643" s="21" t="s">
        <v>57</v>
      </c>
      <c r="Z643" s="21" t="s">
        <v>57</v>
      </c>
      <c r="AA643" s="21" t="s">
        <v>57</v>
      </c>
      <c r="AB643" s="21" t="s">
        <v>57</v>
      </c>
      <c r="AC643" s="21"/>
      <c r="AD643" s="21"/>
    </row>
    <row r="644" spans="1:30" x14ac:dyDescent="0.2">
      <c r="A644" s="18"/>
      <c r="D644" s="19">
        <f>SUM(D632:D642)</f>
        <v>242718.12231999999</v>
      </c>
      <c r="E644" s="19">
        <f>SUM(E632:E642)</f>
        <v>10512.27694</v>
      </c>
      <c r="F644" s="19">
        <f>SUM(F632:F642)</f>
        <v>0</v>
      </c>
      <c r="G644" s="19"/>
      <c r="H644" s="19">
        <f>SUM(H632:H642)</f>
        <v>240425.14032000001</v>
      </c>
      <c r="I644" s="19">
        <f>SUM(I632:I642)</f>
        <v>0</v>
      </c>
      <c r="J644" s="19">
        <f>SUM(J632:J642)</f>
        <v>0</v>
      </c>
      <c r="K644" s="19">
        <f>SUM(K632:K642)</f>
        <v>0</v>
      </c>
      <c r="L644" s="19">
        <f>SUM(L632:L642)</f>
        <v>0</v>
      </c>
      <c r="M644" s="19"/>
      <c r="N644" s="19">
        <f>SUM(N632:N642)</f>
        <v>10512.27694</v>
      </c>
      <c r="O644" s="19">
        <f>SUM(O632:O642)</f>
        <v>2261.0661900000005</v>
      </c>
      <c r="P644" s="19">
        <f>SUM(P632:P642)</f>
        <v>0</v>
      </c>
      <c r="Q644" s="19"/>
      <c r="R644" s="19">
        <f>SUM(R632:R642)</f>
        <v>3465.58</v>
      </c>
      <c r="S644" s="19">
        <f>SUM(S632:S642)</f>
        <v>1426.22037</v>
      </c>
      <c r="T644" s="19">
        <f>SUM(T632:T642)</f>
        <v>0</v>
      </c>
      <c r="U644" s="19">
        <f>SUM(U632:U642)</f>
        <v>0</v>
      </c>
      <c r="V644" s="19">
        <f>SUM(V632:V642)</f>
        <v>0</v>
      </c>
      <c r="W644" s="19"/>
      <c r="X644" s="19">
        <f>SUM(X632:X642)</f>
        <v>2261.0661900000005</v>
      </c>
      <c r="Y644" s="19">
        <f>SUM(Y632:Y642)</f>
        <v>243890.72031999999</v>
      </c>
      <c r="Z644" s="19">
        <f>SUM(Z632:Z642)</f>
        <v>-1172.598</v>
      </c>
      <c r="AA644" s="19">
        <f>SUM(AA632:AA642)</f>
        <v>12773.343129999999</v>
      </c>
      <c r="AB644" s="19">
        <f>SUM(AB632:AB642)</f>
        <v>2731.9171500000002</v>
      </c>
      <c r="AC644" s="19"/>
      <c r="AD644" s="19"/>
    </row>
    <row r="645" spans="1:30" x14ac:dyDescent="0.2">
      <c r="A645" s="18"/>
      <c r="B645" s="9"/>
      <c r="D645" s="21" t="s">
        <v>57</v>
      </c>
      <c r="E645" s="21" t="s">
        <v>57</v>
      </c>
      <c r="F645" s="21" t="s">
        <v>57</v>
      </c>
      <c r="G645" s="21"/>
      <c r="H645" s="21" t="s">
        <v>57</v>
      </c>
      <c r="I645" s="21" t="s">
        <v>57</v>
      </c>
      <c r="J645" s="21" t="s">
        <v>57</v>
      </c>
      <c r="K645" s="21" t="s">
        <v>57</v>
      </c>
      <c r="L645" s="21" t="s">
        <v>57</v>
      </c>
      <c r="M645" s="21"/>
      <c r="N645" s="21" t="s">
        <v>57</v>
      </c>
      <c r="O645" s="21" t="s">
        <v>57</v>
      </c>
      <c r="P645" s="21" t="s">
        <v>57</v>
      </c>
      <c r="Q645" s="21"/>
      <c r="R645" s="21" t="s">
        <v>57</v>
      </c>
      <c r="S645" s="21" t="s">
        <v>57</v>
      </c>
      <c r="T645" s="21" t="s">
        <v>57</v>
      </c>
      <c r="U645" s="21" t="s">
        <v>57</v>
      </c>
      <c r="V645" s="21" t="s">
        <v>57</v>
      </c>
      <c r="W645" s="21"/>
      <c r="X645" s="21" t="s">
        <v>57</v>
      </c>
      <c r="Y645" s="21" t="s">
        <v>57</v>
      </c>
      <c r="Z645" s="21" t="s">
        <v>57</v>
      </c>
      <c r="AA645" s="21" t="s">
        <v>57</v>
      </c>
      <c r="AB645" s="21" t="s">
        <v>57</v>
      </c>
      <c r="AC645" s="21"/>
      <c r="AD645" s="21"/>
    </row>
    <row r="646" spans="1:30" x14ac:dyDescent="0.2">
      <c r="A646" s="18"/>
      <c r="B646" s="9"/>
      <c r="D646" s="35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63"/>
      <c r="P646" s="28"/>
      <c r="Q646" s="28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1:30" x14ac:dyDescent="0.2">
      <c r="A647" s="18">
        <v>47</v>
      </c>
      <c r="B647" s="17" t="s">
        <v>236</v>
      </c>
      <c r="C647" s="17" t="s">
        <v>51</v>
      </c>
      <c r="D647" s="19">
        <f>8607826/1000</f>
        <v>8607.8259999999991</v>
      </c>
      <c r="E647" s="19">
        <f>[1]TOBEPAID!E491/1000</f>
        <v>0</v>
      </c>
      <c r="F647" s="19">
        <f>[1]TOBEPAID!F491/1000</f>
        <v>0</v>
      </c>
      <c r="G647" s="19">
        <f>[1]TOBEPAID!G491/1000</f>
        <v>0</v>
      </c>
      <c r="H647" s="19">
        <v>0</v>
      </c>
      <c r="I647" s="19">
        <f>[1]TOBEPAID!I491/1000</f>
        <v>0</v>
      </c>
      <c r="J647" s="19">
        <f>[1]TOBEPAID!J491/1000</f>
        <v>0</v>
      </c>
      <c r="K647" s="19">
        <f>[1]TOBEPAID!K491/1000</f>
        <v>0</v>
      </c>
      <c r="L647" s="19">
        <f>[1]TOBEPAID!L491/1000</f>
        <v>0</v>
      </c>
      <c r="M647" s="19">
        <f>[1]TOBEPAID!M491/1000</f>
        <v>0</v>
      </c>
      <c r="N647" s="19">
        <f>[1]TOBEPAID!N491/1000</f>
        <v>0</v>
      </c>
      <c r="O647" s="19">
        <f>[1]TOBEPAID!O491/1000</f>
        <v>3246.2381600000003</v>
      </c>
      <c r="P647" s="19">
        <f>[1]TOBEPAID!P491/1000</f>
        <v>0</v>
      </c>
      <c r="Q647" s="19">
        <f>[1]TOBEPAID!Q491/1000</f>
        <v>0</v>
      </c>
      <c r="R647" s="19">
        <f>6482301/1000</f>
        <v>6482.3010000000004</v>
      </c>
      <c r="S647" s="19">
        <f>[1]TOBEPAID!S491/1000</f>
        <v>0</v>
      </c>
      <c r="T647" s="19">
        <f>[1]TOBEPAID!T491/1000</f>
        <v>0</v>
      </c>
      <c r="U647" s="19">
        <f>[1]TOBEPAID!U491/1000</f>
        <v>0</v>
      </c>
      <c r="V647" s="19">
        <f>[1]TOBEPAID!V491/1000</f>
        <v>0</v>
      </c>
      <c r="W647" s="19">
        <f>[1]TOBEPAID!W491/1000</f>
        <v>0</v>
      </c>
      <c r="X647" s="19">
        <f>[1]TOBEPAID!X491/1000</f>
        <v>3246.2381600000003</v>
      </c>
      <c r="Y647" s="19">
        <f t="shared" ref="Y647:Y654" si="119">+H647+R647</f>
        <v>6482.3010000000004</v>
      </c>
      <c r="Z647" s="19">
        <f t="shared" ref="Z647:Z654" si="120">+D647-Y647</f>
        <v>2125.5249999999987</v>
      </c>
      <c r="AA647" s="19">
        <f>[1]TOBEPAID!AA491/1000</f>
        <v>3246.2381600000003</v>
      </c>
      <c r="AB647" s="19">
        <f>[1]TOBEPAID!AB491/1000</f>
        <v>5361.5881999999992</v>
      </c>
      <c r="AC647" s="19"/>
      <c r="AD647" s="19"/>
    </row>
    <row r="648" spans="1:30" x14ac:dyDescent="0.2">
      <c r="A648" s="18"/>
      <c r="C648" s="20" t="s">
        <v>52</v>
      </c>
      <c r="D648" s="19">
        <f>1987562/1000</f>
        <v>1987.5619999999999</v>
      </c>
      <c r="E648" s="19">
        <f>[1]TOBEPAID!E492/1000</f>
        <v>1987.56242</v>
      </c>
      <c r="F648" s="19">
        <f>[1]TOBEPAID!F492/1000</f>
        <v>0</v>
      </c>
      <c r="G648" s="19">
        <f>[1]TOBEPAID!G492/1000</f>
        <v>0</v>
      </c>
      <c r="H648" s="19">
        <f>1987562/1000</f>
        <v>1987.5619999999999</v>
      </c>
      <c r="I648" s="19">
        <f>[1]TOBEPAID!I492/1000</f>
        <v>0</v>
      </c>
      <c r="J648" s="19">
        <f>[1]TOBEPAID!J492/1000</f>
        <v>0</v>
      </c>
      <c r="K648" s="19">
        <f>[1]TOBEPAID!K492/1000</f>
        <v>0</v>
      </c>
      <c r="L648" s="19">
        <f>[1]TOBEPAID!L492/1000</f>
        <v>0</v>
      </c>
      <c r="M648" s="19">
        <f>[1]TOBEPAID!M492/1000</f>
        <v>0</v>
      </c>
      <c r="N648" s="19">
        <f>[1]TOBEPAID!N492/1000</f>
        <v>1987.56242</v>
      </c>
      <c r="O648" s="19">
        <f>[1]TOBEPAID!O492/1000</f>
        <v>0</v>
      </c>
      <c r="P648" s="19">
        <f>[1]TOBEPAID!P492/1000</f>
        <v>0</v>
      </c>
      <c r="Q648" s="19">
        <f>[1]TOBEPAID!Q492/1000</f>
        <v>0</v>
      </c>
      <c r="R648" s="19">
        <v>0</v>
      </c>
      <c r="S648" s="19">
        <f>[1]TOBEPAID!S492/1000</f>
        <v>0</v>
      </c>
      <c r="T648" s="19">
        <f>[1]TOBEPAID!T492/1000</f>
        <v>0</v>
      </c>
      <c r="U648" s="19">
        <f>[1]TOBEPAID!U492/1000</f>
        <v>0</v>
      </c>
      <c r="V648" s="19">
        <f>[1]TOBEPAID!V492/1000</f>
        <v>0</v>
      </c>
      <c r="W648" s="19">
        <f>[1]TOBEPAID!W492/1000</f>
        <v>0</v>
      </c>
      <c r="X648" s="19">
        <f>[1]TOBEPAID!X492/1000</f>
        <v>0</v>
      </c>
      <c r="Y648" s="19">
        <f t="shared" si="119"/>
        <v>1987.5619999999999</v>
      </c>
      <c r="Z648" s="19">
        <f t="shared" si="120"/>
        <v>0</v>
      </c>
      <c r="AA648" s="19">
        <f>[1]TOBEPAID!AA492/1000</f>
        <v>1987.56242</v>
      </c>
      <c r="AB648" s="19">
        <f>[1]TOBEPAID!AB492/1000</f>
        <v>0</v>
      </c>
      <c r="AC648" s="19"/>
      <c r="AD648" s="19"/>
    </row>
    <row r="649" spans="1:30" x14ac:dyDescent="0.2">
      <c r="A649" s="18"/>
      <c r="C649" s="20" t="s">
        <v>70</v>
      </c>
      <c r="D649" s="19">
        <f>27327000/1000</f>
        <v>27327</v>
      </c>
      <c r="E649" s="19">
        <f>[1]TOBEPAID!E493/1000</f>
        <v>27327</v>
      </c>
      <c r="F649" s="19">
        <f>[1]TOBEPAID!F493/1000</f>
        <v>0</v>
      </c>
      <c r="G649" s="19">
        <f>[1]TOBEPAID!G493/1000</f>
        <v>0</v>
      </c>
      <c r="H649" s="19">
        <f>27327000/1000</f>
        <v>27327</v>
      </c>
      <c r="I649" s="19">
        <f>[1]TOBEPAID!I493/1000</f>
        <v>0</v>
      </c>
      <c r="J649" s="19">
        <f>[1]TOBEPAID!J493/1000</f>
        <v>0</v>
      </c>
      <c r="K649" s="19">
        <f>[1]TOBEPAID!K493/1000</f>
        <v>0</v>
      </c>
      <c r="L649" s="19">
        <f>[1]TOBEPAID!L493/1000</f>
        <v>0</v>
      </c>
      <c r="M649" s="19">
        <f>[1]TOBEPAID!M493/1000</f>
        <v>0</v>
      </c>
      <c r="N649" s="19">
        <f>[1]TOBEPAID!N493/1000</f>
        <v>27327</v>
      </c>
      <c r="O649" s="19">
        <f>[1]TOBEPAID!O493/1000</f>
        <v>0</v>
      </c>
      <c r="P649" s="19">
        <f>[1]TOBEPAID!P493/1000</f>
        <v>0</v>
      </c>
      <c r="Q649" s="19">
        <f>[1]TOBEPAID!Q493/1000</f>
        <v>0</v>
      </c>
      <c r="R649" s="19">
        <v>0</v>
      </c>
      <c r="S649" s="19">
        <f>[1]TOBEPAID!S493/1000</f>
        <v>0</v>
      </c>
      <c r="T649" s="19">
        <f>[1]TOBEPAID!T493/1000</f>
        <v>0</v>
      </c>
      <c r="U649" s="19">
        <f>[1]TOBEPAID!U493/1000</f>
        <v>0</v>
      </c>
      <c r="V649" s="19">
        <f>[1]TOBEPAID!V493/1000</f>
        <v>0</v>
      </c>
      <c r="W649" s="19">
        <f>[1]TOBEPAID!W493/1000</f>
        <v>0</v>
      </c>
      <c r="X649" s="19">
        <f>[1]TOBEPAID!X493/1000</f>
        <v>0</v>
      </c>
      <c r="Y649" s="19">
        <f t="shared" si="119"/>
        <v>27327</v>
      </c>
      <c r="Z649" s="19">
        <f t="shared" si="120"/>
        <v>0</v>
      </c>
      <c r="AA649" s="19">
        <f>[1]TOBEPAID!AA493/1000</f>
        <v>27327</v>
      </c>
      <c r="AB649" s="19">
        <f>[1]TOBEPAID!AB493/1000</f>
        <v>0</v>
      </c>
      <c r="AC649" s="19"/>
      <c r="AD649" s="19"/>
    </row>
    <row r="650" spans="1:30" x14ac:dyDescent="0.2">
      <c r="A650" s="18"/>
      <c r="C650" s="17" t="s">
        <v>66</v>
      </c>
      <c r="D650" s="19">
        <f>50000000/1000</f>
        <v>50000</v>
      </c>
      <c r="E650" s="19"/>
      <c r="F650" s="19"/>
      <c r="G650" s="19"/>
      <c r="H650" s="19">
        <f>50000000/1000</f>
        <v>50000</v>
      </c>
      <c r="I650" s="19"/>
      <c r="J650" s="19"/>
      <c r="K650" s="19"/>
      <c r="L650" s="19"/>
      <c r="M650" s="19"/>
      <c r="N650" s="19"/>
      <c r="O650" s="19"/>
      <c r="P650" s="19"/>
      <c r="Q650" s="19"/>
      <c r="R650" s="19">
        <v>0</v>
      </c>
      <c r="S650" s="19"/>
      <c r="T650" s="19"/>
      <c r="U650" s="19"/>
      <c r="V650" s="19"/>
      <c r="W650" s="19"/>
      <c r="X650" s="19"/>
      <c r="Y650" s="19">
        <f>+H650+R650</f>
        <v>50000</v>
      </c>
      <c r="Z650" s="19">
        <f>+D650-Y650</f>
        <v>0</v>
      </c>
      <c r="AA650" s="19"/>
      <c r="AB650" s="19"/>
      <c r="AC650" s="19"/>
      <c r="AD650" s="19"/>
    </row>
    <row r="651" spans="1:30" x14ac:dyDescent="0.2">
      <c r="A651" s="18"/>
      <c r="C651" s="17" t="s">
        <v>66</v>
      </c>
      <c r="D651" s="19">
        <f>72000000/1000</f>
        <v>72000</v>
      </c>
      <c r="E651" s="19"/>
      <c r="F651" s="19"/>
      <c r="G651" s="19"/>
      <c r="H651" s="19">
        <f>72000000/1000</f>
        <v>72000</v>
      </c>
      <c r="I651" s="19"/>
      <c r="J651" s="19"/>
      <c r="K651" s="19"/>
      <c r="L651" s="19"/>
      <c r="M651" s="19"/>
      <c r="N651" s="19"/>
      <c r="O651" s="19"/>
      <c r="P651" s="19"/>
      <c r="Q651" s="19"/>
      <c r="R651" s="19">
        <v>0</v>
      </c>
      <c r="S651" s="19"/>
      <c r="T651" s="19"/>
      <c r="U651" s="19"/>
      <c r="V651" s="19"/>
      <c r="W651" s="19"/>
      <c r="X651" s="19"/>
      <c r="Y651" s="19">
        <f>+H651+R651</f>
        <v>72000</v>
      </c>
      <c r="Z651" s="19">
        <f>+D651-Y651</f>
        <v>0</v>
      </c>
      <c r="AA651" s="19"/>
      <c r="AB651" s="19"/>
      <c r="AC651" s="19"/>
      <c r="AD651" s="19"/>
    </row>
    <row r="652" spans="1:30" x14ac:dyDescent="0.2">
      <c r="C652" s="3" t="s">
        <v>214</v>
      </c>
      <c r="D652" s="19">
        <f>8652898/1000</f>
        <v>8652.8979999999992</v>
      </c>
      <c r="E652" s="19">
        <f>[1]TOBEPAID!E494/1000</f>
        <v>8652.8987799999995</v>
      </c>
      <c r="F652" s="19">
        <f>[1]TOBEPAID!F494/1000</f>
        <v>0</v>
      </c>
      <c r="G652" s="19">
        <f>[1]TOBEPAID!G494/1000</f>
        <v>0</v>
      </c>
      <c r="H652" s="19">
        <f>8652898/1000</f>
        <v>8652.8979999999992</v>
      </c>
      <c r="I652" s="19">
        <f>[1]TOBEPAID!I494/1000</f>
        <v>0</v>
      </c>
      <c r="J652" s="19">
        <f>[1]TOBEPAID!J494/1000</f>
        <v>0</v>
      </c>
      <c r="K652" s="19">
        <f>[1]TOBEPAID!K494/1000</f>
        <v>0</v>
      </c>
      <c r="L652" s="19">
        <f>[1]TOBEPAID!L494/1000</f>
        <v>0</v>
      </c>
      <c r="M652" s="19">
        <f>[1]TOBEPAID!M494/1000</f>
        <v>0</v>
      </c>
      <c r="N652" s="19">
        <f>[1]TOBEPAID!N494/1000</f>
        <v>8652.8987799999995</v>
      </c>
      <c r="O652" s="19">
        <f>[1]TOBEPAID!O494/1000</f>
        <v>0</v>
      </c>
      <c r="P652" s="19">
        <f>[1]TOBEPAID!P494/1000</f>
        <v>0</v>
      </c>
      <c r="Q652" s="19">
        <f>[1]TOBEPAID!Q494/1000</f>
        <v>0</v>
      </c>
      <c r="R652" s="19">
        <v>0</v>
      </c>
      <c r="S652" s="19">
        <f>[1]TOBEPAID!S494/1000</f>
        <v>0</v>
      </c>
      <c r="T652" s="19">
        <f>[1]TOBEPAID!T494/1000</f>
        <v>0</v>
      </c>
      <c r="U652" s="19">
        <f>[1]TOBEPAID!U494/1000</f>
        <v>0</v>
      </c>
      <c r="V652" s="19">
        <f>[1]TOBEPAID!V494/1000</f>
        <v>0</v>
      </c>
      <c r="W652" s="19">
        <f>[1]TOBEPAID!W494/1000</f>
        <v>0</v>
      </c>
      <c r="X652" s="19">
        <f>[1]TOBEPAID!X494/1000</f>
        <v>0</v>
      </c>
      <c r="Y652" s="19">
        <f t="shared" si="119"/>
        <v>8652.8979999999992</v>
      </c>
      <c r="Z652" s="19">
        <f t="shared" si="120"/>
        <v>0</v>
      </c>
      <c r="AA652" s="19">
        <f>[1]TOBEPAID!AA494/1000</f>
        <v>8652.8987799999995</v>
      </c>
      <c r="AB652" s="19">
        <f>[1]TOBEPAID!AB494/1000</f>
        <v>0</v>
      </c>
      <c r="AC652" s="19"/>
      <c r="AD652" s="19"/>
    </row>
    <row r="653" spans="1:30" x14ac:dyDescent="0.2">
      <c r="A653" s="18"/>
      <c r="C653" s="17" t="s">
        <v>54</v>
      </c>
      <c r="D653" s="19">
        <f>174704/1000</f>
        <v>174.70400000000001</v>
      </c>
      <c r="E653" s="19">
        <f>[1]TOBEPAID!E495/1000</f>
        <v>0</v>
      </c>
      <c r="F653" s="19">
        <f>[1]TOBEPAID!F495/1000</f>
        <v>0</v>
      </c>
      <c r="G653" s="19">
        <f>[1]TOBEPAID!G495/1000</f>
        <v>0</v>
      </c>
      <c r="H653" s="19">
        <v>0</v>
      </c>
      <c r="I653" s="19">
        <f>[1]TOBEPAID!I495/1000</f>
        <v>0</v>
      </c>
      <c r="J653" s="19">
        <f>[1]TOBEPAID!J495/1000</f>
        <v>0</v>
      </c>
      <c r="K653" s="19">
        <f>[1]TOBEPAID!K495/1000</f>
        <v>0</v>
      </c>
      <c r="L653" s="19">
        <f>[1]TOBEPAID!L495/1000</f>
        <v>0</v>
      </c>
      <c r="M653" s="19">
        <f>[1]TOBEPAID!M495/1000</f>
        <v>0</v>
      </c>
      <c r="N653" s="19">
        <f>[1]TOBEPAID!N495/1000</f>
        <v>0</v>
      </c>
      <c r="O653" s="19">
        <f>[1]TOBEPAID!O495/1000</f>
        <v>174.70400000000001</v>
      </c>
      <c r="P653" s="19">
        <f>[1]TOBEPAID!P495/1000</f>
        <v>0</v>
      </c>
      <c r="Q653" s="19">
        <f>[1]TOBEPAID!Q495/1000</f>
        <v>0</v>
      </c>
      <c r="R653" s="19">
        <f>174704/1000</f>
        <v>174.70400000000001</v>
      </c>
      <c r="S653" s="19">
        <f>[1]TOBEPAID!S495/1000</f>
        <v>0</v>
      </c>
      <c r="T653" s="19">
        <f>[1]TOBEPAID!T495/1000</f>
        <v>0</v>
      </c>
      <c r="U653" s="19">
        <f>[1]TOBEPAID!U495/1000</f>
        <v>0</v>
      </c>
      <c r="V653" s="19">
        <f>[1]TOBEPAID!V495/1000</f>
        <v>0</v>
      </c>
      <c r="W653" s="19">
        <f>[1]TOBEPAID!W495/1000</f>
        <v>0</v>
      </c>
      <c r="X653" s="19">
        <f>[1]TOBEPAID!X495/1000</f>
        <v>174.70400000000001</v>
      </c>
      <c r="Y653" s="19">
        <f t="shared" si="119"/>
        <v>174.70400000000001</v>
      </c>
      <c r="Z653" s="19">
        <f t="shared" si="120"/>
        <v>0</v>
      </c>
      <c r="AA653" s="19">
        <f>[1]TOBEPAID!AA495/1000</f>
        <v>174.70400000000001</v>
      </c>
      <c r="AB653" s="19">
        <f>[1]TOBEPAID!AB495/1000</f>
        <v>1.0000000000582076E-4</v>
      </c>
      <c r="AC653" s="19"/>
      <c r="AD653" s="19"/>
    </row>
    <row r="654" spans="1:30" x14ac:dyDescent="0.2">
      <c r="A654" s="18"/>
      <c r="C654" s="17" t="s">
        <v>237</v>
      </c>
      <c r="D654" s="19">
        <f>10000000/1000</f>
        <v>10000</v>
      </c>
      <c r="E654" s="19">
        <f>[1]TOBEPAID!E496/1000</f>
        <v>5843.7300300000006</v>
      </c>
      <c r="F654" s="19">
        <f>[1]TOBEPAID!F496/1000</f>
        <v>0</v>
      </c>
      <c r="G654" s="19">
        <f>[1]TOBEPAID!G496/1000</f>
        <v>0</v>
      </c>
      <c r="H654" s="19">
        <f>5843730/1000</f>
        <v>5843.73</v>
      </c>
      <c r="I654" s="19">
        <f>[1]TOBEPAID!I496/1000</f>
        <v>0</v>
      </c>
      <c r="J654" s="19">
        <f>[1]TOBEPAID!J496/1000</f>
        <v>0</v>
      </c>
      <c r="K654" s="19">
        <f>[1]TOBEPAID!K496/1000</f>
        <v>0</v>
      </c>
      <c r="L654" s="19">
        <f>[1]TOBEPAID!L496/1000</f>
        <v>0</v>
      </c>
      <c r="M654" s="19">
        <f>[1]TOBEPAID!M496/1000</f>
        <v>0</v>
      </c>
      <c r="N654" s="19">
        <f>[1]TOBEPAID!N496/1000</f>
        <v>5843.7300300000006</v>
      </c>
      <c r="O654" s="19">
        <f>[1]TOBEPAID!O496/1000</f>
        <v>835.22230000000002</v>
      </c>
      <c r="P654" s="19">
        <f>[1]TOBEPAID!P496/1000</f>
        <v>0</v>
      </c>
      <c r="Q654" s="19">
        <f>[1]TOBEPAID!Q496/1000</f>
        <v>0</v>
      </c>
      <c r="R654" s="19">
        <f>835222/1000</f>
        <v>835.22199999999998</v>
      </c>
      <c r="S654" s="19">
        <f>[1]TOBEPAID!S496/1000</f>
        <v>0</v>
      </c>
      <c r="T654" s="19">
        <f>[1]TOBEPAID!T496/1000</f>
        <v>0</v>
      </c>
      <c r="U654" s="19">
        <f>[1]TOBEPAID!U496/1000</f>
        <v>0</v>
      </c>
      <c r="V654" s="19">
        <f>[1]TOBEPAID!V496/1000</f>
        <v>0</v>
      </c>
      <c r="W654" s="19">
        <f>[1]TOBEPAID!W496/1000</f>
        <v>0</v>
      </c>
      <c r="X654" s="19">
        <f>[1]TOBEPAID!X496/1000</f>
        <v>835.22230000000002</v>
      </c>
      <c r="Y654" s="19">
        <f t="shared" si="119"/>
        <v>6678.9519999999993</v>
      </c>
      <c r="Z654" s="19">
        <f t="shared" si="120"/>
        <v>3321.0480000000007</v>
      </c>
      <c r="AA654" s="19">
        <f>[1]TOBEPAID!AA496/1000</f>
        <v>6678.9523300000001</v>
      </c>
      <c r="AB654" s="19">
        <f>[1]TOBEPAID!AB496/1000</f>
        <v>3321.0476699999999</v>
      </c>
      <c r="AC654" s="19"/>
      <c r="AD654" s="19"/>
    </row>
    <row r="655" spans="1:30" x14ac:dyDescent="0.2">
      <c r="A655" s="18"/>
      <c r="D655" s="21" t="s">
        <v>57</v>
      </c>
      <c r="E655" s="21" t="s">
        <v>57</v>
      </c>
      <c r="F655" s="21" t="s">
        <v>57</v>
      </c>
      <c r="G655" s="21"/>
      <c r="H655" s="21" t="s">
        <v>57</v>
      </c>
      <c r="I655" s="21" t="s">
        <v>57</v>
      </c>
      <c r="J655" s="21" t="s">
        <v>57</v>
      </c>
      <c r="K655" s="21" t="s">
        <v>57</v>
      </c>
      <c r="L655" s="21" t="s">
        <v>57</v>
      </c>
      <c r="M655" s="21"/>
      <c r="N655" s="21" t="s">
        <v>57</v>
      </c>
      <c r="O655" s="21" t="s">
        <v>57</v>
      </c>
      <c r="P655" s="21" t="s">
        <v>57</v>
      </c>
      <c r="Q655" s="21"/>
      <c r="R655" s="21" t="s">
        <v>57</v>
      </c>
      <c r="S655" s="21" t="s">
        <v>57</v>
      </c>
      <c r="T655" s="21" t="s">
        <v>57</v>
      </c>
      <c r="U655" s="21" t="s">
        <v>57</v>
      </c>
      <c r="V655" s="21" t="s">
        <v>57</v>
      </c>
      <c r="W655" s="21"/>
      <c r="X655" s="21" t="s">
        <v>57</v>
      </c>
      <c r="Y655" s="21" t="s">
        <v>57</v>
      </c>
      <c r="Z655" s="21" t="s">
        <v>57</v>
      </c>
      <c r="AA655" s="21" t="s">
        <v>57</v>
      </c>
      <c r="AB655" s="21" t="s">
        <v>57</v>
      </c>
      <c r="AC655" s="21"/>
      <c r="AD655" s="21"/>
    </row>
    <row r="656" spans="1:30" x14ac:dyDescent="0.2">
      <c r="A656" s="18"/>
      <c r="D656" s="19">
        <f>SUM(D647:D654)</f>
        <v>178749.99</v>
      </c>
      <c r="E656" s="19">
        <f>SUM(E647:E654)</f>
        <v>43811.191229999997</v>
      </c>
      <c r="F656" s="19">
        <f>SUM(F647:F654)</f>
        <v>0</v>
      </c>
      <c r="G656" s="19"/>
      <c r="H656" s="19">
        <f>SUM(H647:H654)</f>
        <v>165811.19</v>
      </c>
      <c r="I656" s="19">
        <f>SUM(I647:I654)</f>
        <v>0</v>
      </c>
      <c r="J656" s="19">
        <f>SUM(J647:J654)</f>
        <v>0</v>
      </c>
      <c r="K656" s="19">
        <f>SUM(K647:K654)</f>
        <v>0</v>
      </c>
      <c r="L656" s="19">
        <f>SUM(L647:L654)</f>
        <v>0</v>
      </c>
      <c r="M656" s="19"/>
      <c r="N656" s="19">
        <f>SUM(N647:N654)</f>
        <v>43811.191229999997</v>
      </c>
      <c r="O656" s="19">
        <f>SUM(O647:O654)</f>
        <v>4256.1644600000009</v>
      </c>
      <c r="P656" s="19">
        <f>SUM(P647:P654)</f>
        <v>0</v>
      </c>
      <c r="Q656" s="19"/>
      <c r="R656" s="19">
        <f>SUM(R647:R654)</f>
        <v>7492.2269999999999</v>
      </c>
      <c r="S656" s="19">
        <f>SUM(S647:S654)</f>
        <v>0</v>
      </c>
      <c r="T656" s="19">
        <f>SUM(T647:T654)</f>
        <v>0</v>
      </c>
      <c r="U656" s="19">
        <f>SUM(U647:U654)</f>
        <v>0</v>
      </c>
      <c r="V656" s="19">
        <f>SUM(V647:V654)</f>
        <v>0</v>
      </c>
      <c r="W656" s="19"/>
      <c r="X656" s="19">
        <f>SUM(X647:X654)</f>
        <v>4256.1644600000009</v>
      </c>
      <c r="Y656" s="19">
        <f>SUM(Y647:Y654)</f>
        <v>173303.41699999999</v>
      </c>
      <c r="Z656" s="19">
        <f>SUM(Z647:Z654)</f>
        <v>5446.5729999999994</v>
      </c>
      <c r="AA656" s="19">
        <f>SUM(AA647:AA654)</f>
        <v>48067.355689999997</v>
      </c>
      <c r="AB656" s="19">
        <f>SUM(AB647:AB654)</f>
        <v>8682.6359699999994</v>
      </c>
      <c r="AC656" s="19"/>
      <c r="AD656" s="19"/>
    </row>
    <row r="657" spans="1:30" x14ac:dyDescent="0.2">
      <c r="A657" s="18"/>
      <c r="D657" s="21" t="s">
        <v>57</v>
      </c>
      <c r="E657" s="21" t="s">
        <v>57</v>
      </c>
      <c r="F657" s="21" t="s">
        <v>57</v>
      </c>
      <c r="G657" s="21"/>
      <c r="H657" s="21" t="s">
        <v>57</v>
      </c>
      <c r="I657" s="21" t="s">
        <v>57</v>
      </c>
      <c r="J657" s="21" t="s">
        <v>57</v>
      </c>
      <c r="K657" s="21" t="s">
        <v>57</v>
      </c>
      <c r="L657" s="21" t="s">
        <v>57</v>
      </c>
      <c r="M657" s="21"/>
      <c r="N657" s="21" t="s">
        <v>57</v>
      </c>
      <c r="O657" s="21" t="s">
        <v>57</v>
      </c>
      <c r="P657" s="21" t="s">
        <v>57</v>
      </c>
      <c r="Q657" s="21"/>
      <c r="R657" s="21" t="s">
        <v>57</v>
      </c>
      <c r="S657" s="21" t="s">
        <v>57</v>
      </c>
      <c r="T657" s="21" t="s">
        <v>57</v>
      </c>
      <c r="U657" s="21" t="s">
        <v>57</v>
      </c>
      <c r="V657" s="21" t="s">
        <v>57</v>
      </c>
      <c r="W657" s="21"/>
      <c r="X657" s="21" t="s">
        <v>57</v>
      </c>
      <c r="Y657" s="21" t="s">
        <v>57</v>
      </c>
      <c r="Z657" s="21" t="s">
        <v>57</v>
      </c>
      <c r="AA657" s="21" t="s">
        <v>57</v>
      </c>
      <c r="AB657" s="21" t="s">
        <v>57</v>
      </c>
      <c r="AC657" s="21"/>
      <c r="AD657" s="21"/>
    </row>
    <row r="658" spans="1:30" x14ac:dyDescent="0.2">
      <c r="A658" s="18"/>
      <c r="D658" s="21"/>
      <c r="E658" s="21"/>
      <c r="F658" s="42"/>
      <c r="G658" s="60"/>
      <c r="H658" s="27"/>
      <c r="I658" s="28"/>
      <c r="J658" s="28"/>
      <c r="K658" s="28"/>
      <c r="L658" s="28"/>
      <c r="M658" s="27"/>
      <c r="N658" s="28"/>
      <c r="O658" s="63"/>
      <c r="P658" s="28"/>
      <c r="Q658" s="28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1:30" x14ac:dyDescent="0.2">
      <c r="A659" s="18">
        <v>48</v>
      </c>
      <c r="B659" s="17" t="s">
        <v>238</v>
      </c>
      <c r="C659" s="17" t="s">
        <v>51</v>
      </c>
      <c r="D659" s="19">
        <f>19221211/1000</f>
        <v>19221.210999999999</v>
      </c>
      <c r="E659" s="19">
        <f>[1]TOBEPAID!E501/1000</f>
        <v>0</v>
      </c>
      <c r="F659" s="19">
        <f>[1]TOBEPAID!F501/1000</f>
        <v>0</v>
      </c>
      <c r="G659" s="19">
        <f>[1]TOBEPAID!G501/1000</f>
        <v>0</v>
      </c>
      <c r="H659" s="19">
        <v>0</v>
      </c>
      <c r="I659" s="19">
        <f>[1]TOBEPAID!I501/1000</f>
        <v>0</v>
      </c>
      <c r="J659" s="19">
        <f>[1]TOBEPAID!J501/1000</f>
        <v>0</v>
      </c>
      <c r="K659" s="19">
        <f>[1]TOBEPAID!K501/1000</f>
        <v>0</v>
      </c>
      <c r="L659" s="19">
        <f>[1]TOBEPAID!L501/1000</f>
        <v>0</v>
      </c>
      <c r="M659" s="19">
        <f>[1]TOBEPAID!M501/1000</f>
        <v>0</v>
      </c>
      <c r="N659" s="19">
        <f>[1]TOBEPAID!N501/1000</f>
        <v>0</v>
      </c>
      <c r="O659" s="19">
        <f>[1]TOBEPAID!O501/1000</f>
        <v>9599.9998099999993</v>
      </c>
      <c r="P659" s="19">
        <f>[1]TOBEPAID!P501/1000</f>
        <v>0</v>
      </c>
      <c r="Q659" s="19">
        <f>[1]TOBEPAID!Q501/1000</f>
        <v>0</v>
      </c>
      <c r="R659" s="19">
        <f>11044420/1000</f>
        <v>11044.42</v>
      </c>
      <c r="S659" s="19">
        <f>[1]TOBEPAID!S501/1000</f>
        <v>6263.1173699999999</v>
      </c>
      <c r="T659" s="19">
        <f>[1]TOBEPAID!T501/1000</f>
        <v>3270.9118800000001</v>
      </c>
      <c r="U659" s="19">
        <f>[1]TOBEPAID!U501/1000</f>
        <v>0</v>
      </c>
      <c r="V659" s="19">
        <f>[1]TOBEPAID!V501/1000</f>
        <v>0</v>
      </c>
      <c r="W659" s="19">
        <f>[1]TOBEPAID!W501/1000</f>
        <v>0</v>
      </c>
      <c r="X659" s="19">
        <f>[1]TOBEPAID!X501/1000</f>
        <v>9599.9998099999993</v>
      </c>
      <c r="Y659" s="19">
        <f t="shared" ref="Y659:Y666" si="121">+H659+R659</f>
        <v>11044.42</v>
      </c>
      <c r="Z659" s="19">
        <f t="shared" ref="Z659:Z666" si="122">+D659-Y659</f>
        <v>8176.7909999999993</v>
      </c>
      <c r="AA659" s="19">
        <f>[1]TOBEPAID!AA501/1000</f>
        <v>9599.9998099999993</v>
      </c>
      <c r="AB659" s="19">
        <f>[1]TOBEPAID!AB501/1000</f>
        <v>9621.2118100000025</v>
      </c>
      <c r="AC659" s="19"/>
      <c r="AD659" s="19"/>
    </row>
    <row r="660" spans="1:30" x14ac:dyDescent="0.2">
      <c r="A660" s="18"/>
      <c r="C660" s="20" t="s">
        <v>52</v>
      </c>
      <c r="D660" s="19">
        <f>412209/1000</f>
        <v>412.209</v>
      </c>
      <c r="E660" s="19">
        <f>[1]TOBEPAID!E502/1000</f>
        <v>412.20940000000002</v>
      </c>
      <c r="F660" s="19">
        <f>[1]TOBEPAID!F502/1000</f>
        <v>0</v>
      </c>
      <c r="G660" s="19">
        <f>[1]TOBEPAID!G502/1000</f>
        <v>0</v>
      </c>
      <c r="H660" s="19">
        <f>412209/1000</f>
        <v>412.209</v>
      </c>
      <c r="I660" s="19">
        <f>[1]TOBEPAID!I502/1000</f>
        <v>0</v>
      </c>
      <c r="J660" s="19">
        <f>[1]TOBEPAID!J502/1000</f>
        <v>0</v>
      </c>
      <c r="K660" s="19">
        <f>[1]TOBEPAID!K502/1000</f>
        <v>0</v>
      </c>
      <c r="L660" s="19">
        <f>[1]TOBEPAID!L502/1000</f>
        <v>0</v>
      </c>
      <c r="M660" s="19">
        <f>[1]TOBEPAID!M502/1000</f>
        <v>0</v>
      </c>
      <c r="N660" s="19">
        <f>[1]TOBEPAID!N502/1000</f>
        <v>412.20940000000002</v>
      </c>
      <c r="O660" s="19">
        <f>[1]TOBEPAID!O502/1000</f>
        <v>0</v>
      </c>
      <c r="P660" s="19">
        <f>[1]TOBEPAID!P502/1000</f>
        <v>0</v>
      </c>
      <c r="Q660" s="19">
        <f>[1]TOBEPAID!Q502/1000</f>
        <v>0</v>
      </c>
      <c r="R660" s="19">
        <v>0</v>
      </c>
      <c r="S660" s="19">
        <f>[1]TOBEPAID!S502/1000</f>
        <v>0</v>
      </c>
      <c r="T660" s="19">
        <f>[1]TOBEPAID!T502/1000</f>
        <v>0</v>
      </c>
      <c r="U660" s="19">
        <f>[1]TOBEPAID!U502/1000</f>
        <v>0</v>
      </c>
      <c r="V660" s="19">
        <f>[1]TOBEPAID!V502/1000</f>
        <v>0</v>
      </c>
      <c r="W660" s="19">
        <f>[1]TOBEPAID!W502/1000</f>
        <v>0</v>
      </c>
      <c r="X660" s="19">
        <f>[1]TOBEPAID!X502/1000</f>
        <v>0</v>
      </c>
      <c r="Y660" s="19">
        <f t="shared" si="121"/>
        <v>412.209</v>
      </c>
      <c r="Z660" s="19">
        <f t="shared" si="122"/>
        <v>0</v>
      </c>
      <c r="AA660" s="19">
        <f>[1]TOBEPAID!AA502/1000</f>
        <v>412.20940000000002</v>
      </c>
      <c r="AB660" s="19">
        <f>[1]TOBEPAID!AB502/1000</f>
        <v>0</v>
      </c>
      <c r="AC660" s="19"/>
      <c r="AD660" s="19"/>
    </row>
    <row r="661" spans="1:30" x14ac:dyDescent="0.2">
      <c r="A661" s="18"/>
      <c r="C661" s="20" t="s">
        <v>70</v>
      </c>
      <c r="D661" s="19">
        <f>20063586/1000</f>
        <v>20063.585999999999</v>
      </c>
      <c r="E661" s="19">
        <f>[1]TOBEPAID!E503/1000</f>
        <v>20063.585999999999</v>
      </c>
      <c r="F661" s="19">
        <f>[1]TOBEPAID!F503/1000</f>
        <v>0</v>
      </c>
      <c r="G661" s="19">
        <f>[1]TOBEPAID!G503/1000</f>
        <v>0</v>
      </c>
      <c r="H661" s="19">
        <f>20063586/1000</f>
        <v>20063.585999999999</v>
      </c>
      <c r="I661" s="19">
        <f>[1]TOBEPAID!I503/1000</f>
        <v>0</v>
      </c>
      <c r="J661" s="19">
        <f>[1]TOBEPAID!J503/1000</f>
        <v>0</v>
      </c>
      <c r="K661" s="19">
        <f>[1]TOBEPAID!K503/1000</f>
        <v>0</v>
      </c>
      <c r="L661" s="19">
        <f>[1]TOBEPAID!L503/1000</f>
        <v>0</v>
      </c>
      <c r="M661" s="19">
        <f>[1]TOBEPAID!M503/1000</f>
        <v>0</v>
      </c>
      <c r="N661" s="19">
        <f>[1]TOBEPAID!N503/1000</f>
        <v>20063.585999999999</v>
      </c>
      <c r="O661" s="19">
        <f>[1]TOBEPAID!O503/1000</f>
        <v>0</v>
      </c>
      <c r="P661" s="19">
        <f>[1]TOBEPAID!P503/1000</f>
        <v>0</v>
      </c>
      <c r="Q661" s="19">
        <f>[1]TOBEPAID!Q503/1000</f>
        <v>0</v>
      </c>
      <c r="R661" s="19">
        <v>0</v>
      </c>
      <c r="S661" s="19">
        <f>[1]TOBEPAID!S503/1000</f>
        <v>0</v>
      </c>
      <c r="T661" s="19">
        <f>[1]TOBEPAID!T503/1000</f>
        <v>0</v>
      </c>
      <c r="U661" s="19">
        <f>[1]TOBEPAID!U503/1000</f>
        <v>0</v>
      </c>
      <c r="V661" s="19">
        <f>[1]TOBEPAID!V503/1000</f>
        <v>0</v>
      </c>
      <c r="W661" s="19">
        <f>[1]TOBEPAID!W503/1000</f>
        <v>0</v>
      </c>
      <c r="X661" s="19">
        <f>[1]TOBEPAID!X503/1000</f>
        <v>0</v>
      </c>
      <c r="Y661" s="19">
        <f t="shared" si="121"/>
        <v>20063.585999999999</v>
      </c>
      <c r="Z661" s="19">
        <f t="shared" si="122"/>
        <v>0</v>
      </c>
      <c r="AA661" s="19">
        <f>[1]TOBEPAID!AA503/1000</f>
        <v>20063.585999999999</v>
      </c>
      <c r="AB661" s="19">
        <f>[1]TOBEPAID!AB503/1000</f>
        <v>0</v>
      </c>
      <c r="AC661" s="19"/>
      <c r="AD661" s="19"/>
    </row>
    <row r="662" spans="1:30" x14ac:dyDescent="0.2">
      <c r="A662" s="18"/>
      <c r="C662" s="17" t="s">
        <v>128</v>
      </c>
      <c r="D662" s="19">
        <f>27275707.92/1000</f>
        <v>27275.707920000001</v>
      </c>
      <c r="E662" s="19"/>
      <c r="F662" s="19"/>
      <c r="G662" s="19"/>
      <c r="H662" s="19">
        <f>27275707.92/1000</f>
        <v>27275.707920000001</v>
      </c>
      <c r="I662" s="19"/>
      <c r="J662" s="19"/>
      <c r="K662" s="19"/>
      <c r="L662" s="19"/>
      <c r="M662" s="19"/>
      <c r="N662" s="19"/>
      <c r="O662" s="19"/>
      <c r="P662" s="19"/>
      <c r="Q662" s="19"/>
      <c r="R662" s="19">
        <v>0</v>
      </c>
      <c r="S662" s="19"/>
      <c r="T662" s="19"/>
      <c r="U662" s="19"/>
      <c r="V662" s="19"/>
      <c r="W662" s="19"/>
      <c r="X662" s="19"/>
      <c r="Y662" s="19">
        <f>+H662+R662</f>
        <v>27275.707920000001</v>
      </c>
      <c r="Z662" s="19">
        <f>+D662-Y662</f>
        <v>0</v>
      </c>
      <c r="AA662" s="19"/>
      <c r="AB662" s="19"/>
      <c r="AC662" s="19"/>
      <c r="AD662" s="19"/>
    </row>
    <row r="663" spans="1:30" x14ac:dyDescent="0.2">
      <c r="A663" s="18"/>
      <c r="C663" s="17" t="s">
        <v>66</v>
      </c>
      <c r="D663" s="19">
        <f>10000000/1000</f>
        <v>10000</v>
      </c>
      <c r="E663" s="19"/>
      <c r="F663" s="19"/>
      <c r="G663" s="19"/>
      <c r="H663" s="19">
        <f>10000000/1000</f>
        <v>10000</v>
      </c>
      <c r="I663" s="19"/>
      <c r="J663" s="19"/>
      <c r="K663" s="19"/>
      <c r="L663" s="19"/>
      <c r="M663" s="19"/>
      <c r="N663" s="19"/>
      <c r="O663" s="19"/>
      <c r="P663" s="19"/>
      <c r="Q663" s="19"/>
      <c r="R663" s="19">
        <v>0</v>
      </c>
      <c r="S663" s="19"/>
      <c r="T663" s="19"/>
      <c r="U663" s="19"/>
      <c r="V663" s="19"/>
      <c r="W663" s="19"/>
      <c r="X663" s="19"/>
      <c r="Y663" s="19">
        <f>+H663+R663</f>
        <v>10000</v>
      </c>
      <c r="Z663" s="19">
        <f>+D663-Y663</f>
        <v>0</v>
      </c>
      <c r="AA663" s="19"/>
      <c r="AB663" s="19"/>
      <c r="AC663" s="19"/>
      <c r="AD663" s="19"/>
    </row>
    <row r="664" spans="1:30" x14ac:dyDescent="0.2">
      <c r="C664" s="3" t="s">
        <v>214</v>
      </c>
      <c r="D664" s="19">
        <f>2327913/1000</f>
        <v>2327.913</v>
      </c>
      <c r="E664" s="19">
        <f>[1]TOBEPAID!E504/1000</f>
        <v>2327.91399</v>
      </c>
      <c r="F664" s="19">
        <f>[1]TOBEPAID!F504/1000</f>
        <v>0</v>
      </c>
      <c r="G664" s="19">
        <f>[1]TOBEPAID!G504/1000</f>
        <v>0</v>
      </c>
      <c r="H664" s="19">
        <f>2327913/1000</f>
        <v>2327.913</v>
      </c>
      <c r="I664" s="19">
        <f>[1]TOBEPAID!I504/1000</f>
        <v>0</v>
      </c>
      <c r="J664" s="19">
        <f>[1]TOBEPAID!J504/1000</f>
        <v>0</v>
      </c>
      <c r="K664" s="19">
        <f>[1]TOBEPAID!K504/1000</f>
        <v>0</v>
      </c>
      <c r="L664" s="19">
        <f>[1]TOBEPAID!L504/1000</f>
        <v>0</v>
      </c>
      <c r="M664" s="19">
        <f>[1]TOBEPAID!M504/1000</f>
        <v>0</v>
      </c>
      <c r="N664" s="19">
        <f>[1]TOBEPAID!N504/1000</f>
        <v>2327.91399</v>
      </c>
      <c r="O664" s="19">
        <f>[1]TOBEPAID!O504/1000</f>
        <v>0</v>
      </c>
      <c r="P664" s="19">
        <f>[1]TOBEPAID!P504/1000</f>
        <v>0</v>
      </c>
      <c r="Q664" s="19">
        <f>[1]TOBEPAID!Q504/1000</f>
        <v>0</v>
      </c>
      <c r="R664" s="19">
        <v>0</v>
      </c>
      <c r="S664" s="19">
        <f>[1]TOBEPAID!S504/1000</f>
        <v>0</v>
      </c>
      <c r="T664" s="19">
        <f>[1]TOBEPAID!T504/1000</f>
        <v>0</v>
      </c>
      <c r="U664" s="19">
        <f>[1]TOBEPAID!U504/1000</f>
        <v>0</v>
      </c>
      <c r="V664" s="19">
        <f>[1]TOBEPAID!V504/1000</f>
        <v>0</v>
      </c>
      <c r="W664" s="19">
        <f>[1]TOBEPAID!W504/1000</f>
        <v>0</v>
      </c>
      <c r="X664" s="19">
        <f>[1]TOBEPAID!X504/1000</f>
        <v>0</v>
      </c>
      <c r="Y664" s="19">
        <f t="shared" si="121"/>
        <v>2327.913</v>
      </c>
      <c r="Z664" s="19">
        <f t="shared" si="122"/>
        <v>0</v>
      </c>
      <c r="AA664" s="19">
        <f>[1]TOBEPAID!AA504/1000</f>
        <v>2327.91399</v>
      </c>
      <c r="AB664" s="19">
        <f>[1]TOBEPAID!AB504/1000</f>
        <v>0</v>
      </c>
      <c r="AC664" s="19"/>
      <c r="AD664" s="19"/>
    </row>
    <row r="665" spans="1:30" x14ac:dyDescent="0.2">
      <c r="A665" s="18"/>
      <c r="C665" s="17" t="s">
        <v>54</v>
      </c>
      <c r="D665" s="19">
        <f>188958/1000</f>
        <v>188.958</v>
      </c>
      <c r="E665" s="19">
        <f>[1]TOBEPAID!E505/1000</f>
        <v>0</v>
      </c>
      <c r="F665" s="19">
        <f>[1]TOBEPAID!F505/1000</f>
        <v>0</v>
      </c>
      <c r="G665" s="19">
        <f>[1]TOBEPAID!G505/1000</f>
        <v>0</v>
      </c>
      <c r="H665" s="19">
        <v>0</v>
      </c>
      <c r="I665" s="19">
        <f>[1]TOBEPAID!I505/1000</f>
        <v>0</v>
      </c>
      <c r="J665" s="19">
        <f>[1]TOBEPAID!J505/1000</f>
        <v>0</v>
      </c>
      <c r="K665" s="19">
        <f>[1]TOBEPAID!K505/1000</f>
        <v>0</v>
      </c>
      <c r="L665" s="19">
        <f>[1]TOBEPAID!L505/1000</f>
        <v>0</v>
      </c>
      <c r="M665" s="19">
        <f>[1]TOBEPAID!M505/1000</f>
        <v>0</v>
      </c>
      <c r="N665" s="19">
        <f>[1]TOBEPAID!N505/1000</f>
        <v>0</v>
      </c>
      <c r="O665" s="19">
        <f>[1]TOBEPAID!O505/1000</f>
        <v>0.39146000000000003</v>
      </c>
      <c r="P665" s="19">
        <f>[1]TOBEPAID!P505/1000</f>
        <v>0</v>
      </c>
      <c r="Q665" s="19">
        <f>[1]TOBEPAID!Q505/1000</f>
        <v>0</v>
      </c>
      <c r="R665" s="19">
        <v>0.39100000000000001</v>
      </c>
      <c r="S665" s="19">
        <f>[1]TOBEPAID!S505/1000</f>
        <v>0</v>
      </c>
      <c r="T665" s="19">
        <f>[1]TOBEPAID!T505/1000</f>
        <v>0</v>
      </c>
      <c r="U665" s="19">
        <f>[1]TOBEPAID!U505/1000</f>
        <v>0</v>
      </c>
      <c r="V665" s="19">
        <f>[1]TOBEPAID!V505/1000</f>
        <v>0</v>
      </c>
      <c r="W665" s="19">
        <f>[1]TOBEPAID!W505/1000</f>
        <v>0</v>
      </c>
      <c r="X665" s="19">
        <f>[1]TOBEPAID!X505/1000</f>
        <v>0.39146000000000003</v>
      </c>
      <c r="Y665" s="19">
        <f t="shared" si="121"/>
        <v>0.39100000000000001</v>
      </c>
      <c r="Z665" s="19">
        <f t="shared" si="122"/>
        <v>188.56700000000001</v>
      </c>
      <c r="AA665" s="19">
        <f>[1]TOBEPAID!AA505/1000</f>
        <v>0.39146000000000003</v>
      </c>
      <c r="AB665" s="19">
        <f>[1]TOBEPAID!AB505/1000</f>
        <v>188.56661</v>
      </c>
      <c r="AC665" s="19"/>
      <c r="AD665" s="19"/>
    </row>
    <row r="666" spans="1:30" x14ac:dyDescent="0.2">
      <c r="A666" s="18"/>
      <c r="C666" s="31" t="s">
        <v>56</v>
      </c>
      <c r="D666" s="19">
        <f>3714169/1000</f>
        <v>3714.1689999999999</v>
      </c>
      <c r="E666" s="19">
        <f>[1]TOBEPAID!E506/1000</f>
        <v>0</v>
      </c>
      <c r="F666" s="19">
        <f>[1]TOBEPAID!F506/1000</f>
        <v>0</v>
      </c>
      <c r="G666" s="19">
        <f>[1]TOBEPAID!G506/1000</f>
        <v>0</v>
      </c>
      <c r="H666" s="19">
        <v>0</v>
      </c>
      <c r="I666" s="19">
        <f>[1]TOBEPAID!I506/1000</f>
        <v>0</v>
      </c>
      <c r="J666" s="19">
        <f>[1]TOBEPAID!J506/1000</f>
        <v>0</v>
      </c>
      <c r="K666" s="19">
        <f>[1]TOBEPAID!K506/1000</f>
        <v>0</v>
      </c>
      <c r="L666" s="19">
        <f>[1]TOBEPAID!L506/1000</f>
        <v>0</v>
      </c>
      <c r="M666" s="19">
        <f>[1]TOBEPAID!M506/1000</f>
        <v>0</v>
      </c>
      <c r="N666" s="19">
        <f>[1]TOBEPAID!N506/1000</f>
        <v>0</v>
      </c>
      <c r="O666" s="19">
        <f>[1]TOBEPAID!O506/1000</f>
        <v>288.36020000000002</v>
      </c>
      <c r="P666" s="19">
        <f>[1]TOBEPAID!P506/1000</f>
        <v>0</v>
      </c>
      <c r="Q666" s="19">
        <f>[1]TOBEPAID!Q506/1000</f>
        <v>0</v>
      </c>
      <c r="R666" s="19">
        <f>288360/1000</f>
        <v>288.36</v>
      </c>
      <c r="S666" s="19">
        <f>[1]TOBEPAID!S506/1000</f>
        <v>0</v>
      </c>
      <c r="T666" s="19">
        <f>[1]TOBEPAID!T506/1000</f>
        <v>0</v>
      </c>
      <c r="U666" s="19">
        <f>[1]TOBEPAID!U506/1000</f>
        <v>0</v>
      </c>
      <c r="V666" s="19">
        <f>[1]TOBEPAID!V506/1000</f>
        <v>0</v>
      </c>
      <c r="W666" s="19">
        <f>[1]TOBEPAID!W506/1000</f>
        <v>0</v>
      </c>
      <c r="X666" s="19">
        <f>[1]TOBEPAID!X506/1000</f>
        <v>288.36020000000002</v>
      </c>
      <c r="Y666" s="19">
        <f t="shared" si="121"/>
        <v>288.36</v>
      </c>
      <c r="Z666" s="19">
        <f t="shared" si="122"/>
        <v>3425.8089999999997</v>
      </c>
      <c r="AA666" s="19">
        <f>[1]TOBEPAID!AA506/1000</f>
        <v>288.36020000000002</v>
      </c>
      <c r="AB666" s="19">
        <f>[1]TOBEPAID!AB506/1000</f>
        <v>3425.8092900000001</v>
      </c>
      <c r="AC666" s="19"/>
      <c r="AD666" s="19"/>
    </row>
    <row r="667" spans="1:30" x14ac:dyDescent="0.2">
      <c r="A667" s="18"/>
      <c r="D667" s="21" t="s">
        <v>57</v>
      </c>
      <c r="E667" s="21" t="s">
        <v>57</v>
      </c>
      <c r="F667" s="21" t="s">
        <v>57</v>
      </c>
      <c r="G667" s="21"/>
      <c r="H667" s="21" t="s">
        <v>57</v>
      </c>
      <c r="I667" s="21" t="s">
        <v>57</v>
      </c>
      <c r="J667" s="21" t="s">
        <v>57</v>
      </c>
      <c r="K667" s="21" t="s">
        <v>57</v>
      </c>
      <c r="L667" s="21" t="s">
        <v>57</v>
      </c>
      <c r="M667" s="21"/>
      <c r="N667" s="21" t="s">
        <v>57</v>
      </c>
      <c r="O667" s="21" t="s">
        <v>57</v>
      </c>
      <c r="P667" s="21" t="s">
        <v>57</v>
      </c>
      <c r="Q667" s="21"/>
      <c r="R667" s="21" t="s">
        <v>57</v>
      </c>
      <c r="S667" s="21" t="s">
        <v>57</v>
      </c>
      <c r="T667" s="21" t="s">
        <v>57</v>
      </c>
      <c r="U667" s="21" t="s">
        <v>57</v>
      </c>
      <c r="V667" s="21" t="s">
        <v>57</v>
      </c>
      <c r="W667" s="21"/>
      <c r="X667" s="21" t="s">
        <v>57</v>
      </c>
      <c r="Y667" s="21" t="s">
        <v>57</v>
      </c>
      <c r="Z667" s="21" t="s">
        <v>57</v>
      </c>
      <c r="AA667" s="21" t="s">
        <v>57</v>
      </c>
      <c r="AB667" s="21" t="s">
        <v>57</v>
      </c>
      <c r="AC667" s="21"/>
      <c r="AD667" s="21"/>
    </row>
    <row r="668" spans="1:30" x14ac:dyDescent="0.2">
      <c r="A668" s="18"/>
      <c r="D668" s="19">
        <f>SUM(D659:D666)</f>
        <v>83203.753919999988</v>
      </c>
      <c r="E668" s="19">
        <f>SUM(E659:E666)</f>
        <v>22803.70939</v>
      </c>
      <c r="F668" s="19">
        <f>SUM(F659:F666)</f>
        <v>0</v>
      </c>
      <c r="G668" s="19"/>
      <c r="H668" s="19">
        <f>SUM(H659:H666)</f>
        <v>60079.415919999999</v>
      </c>
      <c r="I668" s="19">
        <f>SUM(I659:I666)</f>
        <v>0</v>
      </c>
      <c r="J668" s="19">
        <f>SUM(J659:J666)</f>
        <v>0</v>
      </c>
      <c r="K668" s="19">
        <f>SUM(K659:K666)</f>
        <v>0</v>
      </c>
      <c r="L668" s="19">
        <f>SUM(L659:L666)</f>
        <v>0</v>
      </c>
      <c r="M668" s="19"/>
      <c r="N668" s="19">
        <f>SUM(N659:N666)</f>
        <v>22803.70939</v>
      </c>
      <c r="O668" s="19">
        <f>SUM(O659:O666)</f>
        <v>9888.7514699999992</v>
      </c>
      <c r="P668" s="19">
        <f>SUM(P659:P666)</f>
        <v>0</v>
      </c>
      <c r="Q668" s="19"/>
      <c r="R668" s="19">
        <f>SUM(R659:R666)</f>
        <v>11333.171</v>
      </c>
      <c r="S668" s="19">
        <f>SUM(S659:S666)</f>
        <v>6263.1173699999999</v>
      </c>
      <c r="T668" s="19">
        <f>SUM(T659:T666)</f>
        <v>3270.9118800000001</v>
      </c>
      <c r="U668" s="19">
        <f>SUM(U659:U666)</f>
        <v>0</v>
      </c>
      <c r="V668" s="19">
        <f>SUM(V659:V666)</f>
        <v>0</v>
      </c>
      <c r="W668" s="19"/>
      <c r="X668" s="19">
        <f>SUM(X659:X666)</f>
        <v>9888.7514699999992</v>
      </c>
      <c r="Y668" s="19">
        <f>SUM(Y659:Y666)</f>
        <v>71412.586920000002</v>
      </c>
      <c r="Z668" s="19">
        <f>SUM(Z659:Z666)</f>
        <v>11791.166999999999</v>
      </c>
      <c r="AA668" s="19">
        <f>SUM(AA659:AA666)</f>
        <v>32692.460859999996</v>
      </c>
      <c r="AB668" s="19">
        <f>SUM(AB659:AB666)</f>
        <v>13235.587710000003</v>
      </c>
      <c r="AC668" s="19"/>
      <c r="AD668" s="19"/>
    </row>
    <row r="669" spans="1:30" x14ac:dyDescent="0.2">
      <c r="A669" s="18"/>
      <c r="D669" s="21" t="s">
        <v>57</v>
      </c>
      <c r="E669" s="21" t="s">
        <v>57</v>
      </c>
      <c r="F669" s="21" t="s">
        <v>57</v>
      </c>
      <c r="G669" s="21"/>
      <c r="H669" s="21" t="s">
        <v>57</v>
      </c>
      <c r="I669" s="21" t="s">
        <v>57</v>
      </c>
      <c r="J669" s="21" t="s">
        <v>57</v>
      </c>
      <c r="K669" s="21" t="s">
        <v>57</v>
      </c>
      <c r="L669" s="21" t="s">
        <v>57</v>
      </c>
      <c r="M669" s="21"/>
      <c r="N669" s="21" t="s">
        <v>57</v>
      </c>
      <c r="O669" s="21" t="s">
        <v>57</v>
      </c>
      <c r="P669" s="21" t="s">
        <v>57</v>
      </c>
      <c r="Q669" s="21"/>
      <c r="R669" s="21" t="s">
        <v>57</v>
      </c>
      <c r="S669" s="21" t="s">
        <v>57</v>
      </c>
      <c r="T669" s="21" t="s">
        <v>57</v>
      </c>
      <c r="U669" s="21" t="s">
        <v>57</v>
      </c>
      <c r="V669" s="21" t="s">
        <v>57</v>
      </c>
      <c r="W669" s="21"/>
      <c r="X669" s="21" t="s">
        <v>57</v>
      </c>
      <c r="Y669" s="21" t="s">
        <v>57</v>
      </c>
      <c r="Z669" s="21" t="s">
        <v>57</v>
      </c>
      <c r="AA669" s="21" t="s">
        <v>57</v>
      </c>
      <c r="AB669" s="21" t="s">
        <v>57</v>
      </c>
      <c r="AC669" s="21"/>
      <c r="AD669" s="21"/>
    </row>
    <row r="670" spans="1:30" x14ac:dyDescent="0.2">
      <c r="A670" s="18" t="s">
        <v>239</v>
      </c>
      <c r="D670" s="21"/>
      <c r="E670" s="21"/>
      <c r="F670" s="42"/>
      <c r="G670" s="28"/>
      <c r="H670" s="27"/>
      <c r="I670" s="28"/>
      <c r="J670" s="28"/>
      <c r="K670" s="28"/>
      <c r="L670" s="28"/>
      <c r="M670" s="27"/>
      <c r="N670" s="21"/>
      <c r="O670" s="63"/>
      <c r="P670" s="28"/>
      <c r="Q670" s="63"/>
      <c r="R670" s="21"/>
      <c r="S670" s="21"/>
      <c r="T670" s="21"/>
      <c r="U670" s="21"/>
      <c r="V670" s="30"/>
      <c r="W670" s="21"/>
      <c r="X670" s="21"/>
      <c r="Y670" s="21"/>
      <c r="Z670" s="21"/>
      <c r="AA670" s="21"/>
      <c r="AB670" s="21"/>
      <c r="AC670" s="21"/>
      <c r="AD670" s="21"/>
    </row>
    <row r="671" spans="1:30" x14ac:dyDescent="0.2">
      <c r="A671" s="18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1:30" x14ac:dyDescent="0.2">
      <c r="A672" s="18">
        <v>49</v>
      </c>
      <c r="B672" s="17" t="s">
        <v>240</v>
      </c>
      <c r="C672" s="17" t="s">
        <v>51</v>
      </c>
      <c r="D672" s="19">
        <f>57165882/1000</f>
        <v>57165.881999999998</v>
      </c>
      <c r="E672" s="19">
        <f>[1]TOBEPAID!E513/1000</f>
        <v>6303.0601400000005</v>
      </c>
      <c r="F672" s="19">
        <f>[1]TOBEPAID!F513/1000</f>
        <v>0</v>
      </c>
      <c r="G672" s="19">
        <f>[1]TOBEPAID!G513/1000</f>
        <v>0</v>
      </c>
      <c r="H672" s="19">
        <f>44821560/1000</f>
        <v>44821.56</v>
      </c>
      <c r="I672" s="19">
        <f>[1]TOBEPAID!I513/1000</f>
        <v>0</v>
      </c>
      <c r="J672" s="19">
        <f>[1]TOBEPAID!J513/1000</f>
        <v>0</v>
      </c>
      <c r="K672" s="19">
        <f>[1]TOBEPAID!K513/1000</f>
        <v>0</v>
      </c>
      <c r="L672" s="19">
        <f>[1]TOBEPAID!L513/1000</f>
        <v>0</v>
      </c>
      <c r="M672" s="19">
        <f>[1]TOBEPAID!M513/1000</f>
        <v>0</v>
      </c>
      <c r="N672" s="19">
        <f>[1]TOBEPAID!N513/1000</f>
        <v>6303.0601400000005</v>
      </c>
      <c r="O672" s="19">
        <f>[1]TOBEPAID!O513/1000</f>
        <v>2104.5374900000002</v>
      </c>
      <c r="P672" s="19">
        <f>[1]TOBEPAID!P513/1000</f>
        <v>0</v>
      </c>
      <c r="Q672" s="19">
        <f>[1]TOBEPAID!Q513/1000</f>
        <v>0</v>
      </c>
      <c r="R672" s="19">
        <f>85394/1000</f>
        <v>85.394000000000005</v>
      </c>
      <c r="S672" s="19">
        <f>[1]TOBEPAID!S513/1000</f>
        <v>0</v>
      </c>
      <c r="T672" s="19">
        <f>[1]TOBEPAID!T513/1000</f>
        <v>0</v>
      </c>
      <c r="U672" s="19">
        <f>[1]TOBEPAID!U513/1000</f>
        <v>0</v>
      </c>
      <c r="V672" s="19">
        <f>[1]TOBEPAID!V513/1000</f>
        <v>0</v>
      </c>
      <c r="W672" s="19">
        <f>[1]TOBEPAID!W513/1000</f>
        <v>0</v>
      </c>
      <c r="X672" s="19">
        <f>[1]TOBEPAID!X513/1000</f>
        <v>2104.5374900000002</v>
      </c>
      <c r="Y672" s="19">
        <f>+H672+R672</f>
        <v>44906.953999999998</v>
      </c>
      <c r="Z672" s="19">
        <f>+D672-Y672</f>
        <v>12258.928</v>
      </c>
      <c r="AA672" s="19">
        <f>[1]TOBEPAID!AA513/1000</f>
        <v>8407.5976300000002</v>
      </c>
      <c r="AB672" s="19">
        <f>[1]TOBEPAID!AB513/1000</f>
        <v>34836.805930000002</v>
      </c>
      <c r="AC672" s="19"/>
      <c r="AD672" s="19"/>
    </row>
    <row r="673" spans="1:30" x14ac:dyDescent="0.2">
      <c r="A673" s="18"/>
      <c r="C673" s="20" t="s">
        <v>52</v>
      </c>
      <c r="D673" s="19">
        <f>2445344/1000</f>
        <v>2445.3440000000001</v>
      </c>
      <c r="E673" s="19">
        <f>[1]TOBEPAID!E514/1000</f>
        <v>2445.3442699999996</v>
      </c>
      <c r="F673" s="19">
        <f>[1]TOBEPAID!F514/1000</f>
        <v>0</v>
      </c>
      <c r="G673" s="19">
        <f>[1]TOBEPAID!G514/1000</f>
        <v>0</v>
      </c>
      <c r="H673" s="19">
        <f>2445344/1000</f>
        <v>2445.3440000000001</v>
      </c>
      <c r="I673" s="19">
        <f>[1]TOBEPAID!I514/1000</f>
        <v>0</v>
      </c>
      <c r="J673" s="19">
        <f>[1]TOBEPAID!J514/1000</f>
        <v>0</v>
      </c>
      <c r="K673" s="19">
        <f>[1]TOBEPAID!K514/1000</f>
        <v>0</v>
      </c>
      <c r="L673" s="19">
        <f>[1]TOBEPAID!L514/1000</f>
        <v>0</v>
      </c>
      <c r="M673" s="19">
        <f>[1]TOBEPAID!M514/1000</f>
        <v>0</v>
      </c>
      <c r="N673" s="19">
        <f>[1]TOBEPAID!N514/1000</f>
        <v>2445.3442699999996</v>
      </c>
      <c r="O673" s="19">
        <f>[1]TOBEPAID!O514/1000</f>
        <v>0</v>
      </c>
      <c r="P673" s="19">
        <f>[1]TOBEPAID!P514/1000</f>
        <v>0</v>
      </c>
      <c r="Q673" s="19">
        <f>[1]TOBEPAID!Q514/1000</f>
        <v>0</v>
      </c>
      <c r="R673" s="19">
        <v>0</v>
      </c>
      <c r="S673" s="19">
        <f>[1]TOBEPAID!S514/1000</f>
        <v>0</v>
      </c>
      <c r="T673" s="19">
        <f>[1]TOBEPAID!T514/1000</f>
        <v>0</v>
      </c>
      <c r="U673" s="19">
        <f>[1]TOBEPAID!U514/1000</f>
        <v>0</v>
      </c>
      <c r="V673" s="19">
        <f>[1]TOBEPAID!V514/1000</f>
        <v>0</v>
      </c>
      <c r="W673" s="19">
        <f>[1]TOBEPAID!W514/1000</f>
        <v>0</v>
      </c>
      <c r="X673" s="19">
        <f>[1]TOBEPAID!X514/1000</f>
        <v>0</v>
      </c>
      <c r="Y673" s="19">
        <f>[1]TOBEPAID!Y514/1000</f>
        <v>2445.3442699999996</v>
      </c>
      <c r="Z673" s="19">
        <f>[1]TOBEPAID!Z514/1000</f>
        <v>0</v>
      </c>
      <c r="AA673" s="19">
        <f>[1]TOBEPAID!AA514/1000</f>
        <v>2445.3442699999996</v>
      </c>
      <c r="AB673" s="19">
        <f>[1]TOBEPAID!AB514/1000</f>
        <v>0</v>
      </c>
      <c r="AC673" s="19"/>
      <c r="AD673" s="19"/>
    </row>
    <row r="674" spans="1:30" x14ac:dyDescent="0.2">
      <c r="A674" s="18"/>
      <c r="C674" s="20" t="s">
        <v>70</v>
      </c>
      <c r="D674" s="19">
        <f>8746000/1000</f>
        <v>8746</v>
      </c>
      <c r="E674" s="19">
        <f>[1]TOBEPAID!E515/1000</f>
        <v>8746</v>
      </c>
      <c r="F674" s="19">
        <f>[1]TOBEPAID!F515/1000</f>
        <v>0</v>
      </c>
      <c r="G674" s="19">
        <f>[1]TOBEPAID!G515/1000</f>
        <v>0</v>
      </c>
      <c r="H674" s="19">
        <f>8746000/1000</f>
        <v>8746</v>
      </c>
      <c r="I674" s="19">
        <f>[1]TOBEPAID!I515/1000</f>
        <v>0</v>
      </c>
      <c r="J674" s="19">
        <f>[1]TOBEPAID!J515/1000</f>
        <v>0</v>
      </c>
      <c r="K674" s="19">
        <f>[1]TOBEPAID!K515/1000</f>
        <v>0</v>
      </c>
      <c r="L674" s="19">
        <f>[1]TOBEPAID!L515/1000</f>
        <v>0</v>
      </c>
      <c r="M674" s="19">
        <f>[1]TOBEPAID!M515/1000</f>
        <v>0</v>
      </c>
      <c r="N674" s="19">
        <f>[1]TOBEPAID!N515/1000</f>
        <v>8746</v>
      </c>
      <c r="O674" s="19">
        <f>[1]TOBEPAID!O515/1000</f>
        <v>0</v>
      </c>
      <c r="P674" s="19">
        <f>[1]TOBEPAID!P515/1000</f>
        <v>0</v>
      </c>
      <c r="Q674" s="19">
        <f>[1]TOBEPAID!Q515/1000</f>
        <v>0</v>
      </c>
      <c r="R674" s="19">
        <v>0</v>
      </c>
      <c r="S674" s="19">
        <f>[1]TOBEPAID!S515/1000</f>
        <v>0</v>
      </c>
      <c r="T674" s="19">
        <f>[1]TOBEPAID!T515/1000</f>
        <v>0</v>
      </c>
      <c r="U674" s="19">
        <f>[1]TOBEPAID!U515/1000</f>
        <v>0</v>
      </c>
      <c r="V674" s="19">
        <f>[1]TOBEPAID!V515/1000</f>
        <v>0</v>
      </c>
      <c r="W674" s="19">
        <f>[1]TOBEPAID!W515/1000</f>
        <v>0</v>
      </c>
      <c r="X674" s="19">
        <f>[1]TOBEPAID!X515/1000</f>
        <v>0</v>
      </c>
      <c r="Y674" s="19">
        <f>[1]TOBEPAID!Y515/1000</f>
        <v>8746</v>
      </c>
      <c r="Z674" s="19">
        <f>[1]TOBEPAID!Z515/1000</f>
        <v>0</v>
      </c>
      <c r="AA674" s="19">
        <f>[1]TOBEPAID!AA515/1000</f>
        <v>8746</v>
      </c>
      <c r="AB674" s="19">
        <f>[1]TOBEPAID!AB515/1000</f>
        <v>0</v>
      </c>
      <c r="AC674" s="19"/>
      <c r="AD674" s="19"/>
    </row>
    <row r="675" spans="1:30" x14ac:dyDescent="0.2">
      <c r="A675" s="18"/>
      <c r="C675" s="20" t="s">
        <v>77</v>
      </c>
      <c r="D675" s="19">
        <f>10000000/1000</f>
        <v>10000</v>
      </c>
      <c r="E675" s="19"/>
      <c r="F675" s="19"/>
      <c r="G675" s="19"/>
      <c r="H675" s="19">
        <f>10000000/1000</f>
        <v>10000</v>
      </c>
      <c r="I675" s="19"/>
      <c r="J675" s="19"/>
      <c r="K675" s="19"/>
      <c r="L675" s="19"/>
      <c r="M675" s="19"/>
      <c r="N675" s="19"/>
      <c r="O675" s="19"/>
      <c r="P675" s="19"/>
      <c r="Q675" s="19"/>
      <c r="R675" s="19">
        <v>0</v>
      </c>
      <c r="S675" s="19"/>
      <c r="T675" s="19"/>
      <c r="U675" s="19"/>
      <c r="V675" s="19"/>
      <c r="W675" s="19"/>
      <c r="X675" s="19"/>
      <c r="Y675" s="19">
        <f>+H675+R675</f>
        <v>10000</v>
      </c>
      <c r="Z675" s="19">
        <f>+D675-Y675</f>
        <v>0</v>
      </c>
      <c r="AA675" s="19"/>
      <c r="AB675" s="19"/>
      <c r="AC675" s="19"/>
      <c r="AD675" s="19"/>
    </row>
    <row r="676" spans="1:30" x14ac:dyDescent="0.2">
      <c r="A676" s="18"/>
      <c r="C676" s="20" t="s">
        <v>81</v>
      </c>
      <c r="D676" s="19">
        <f>961600/1000</f>
        <v>961.6</v>
      </c>
      <c r="E676" s="19">
        <f>[1]TOBEPAID!E516/1000</f>
        <v>961.60034999999993</v>
      </c>
      <c r="F676" s="19">
        <f>[1]TOBEPAID!F516/1000</f>
        <v>0</v>
      </c>
      <c r="G676" s="19">
        <f>[1]TOBEPAID!G516/1000</f>
        <v>0</v>
      </c>
      <c r="H676" s="19">
        <f>961600/1000</f>
        <v>961.6</v>
      </c>
      <c r="I676" s="19">
        <f>[1]TOBEPAID!I516/1000</f>
        <v>0</v>
      </c>
      <c r="J676" s="19">
        <f>[1]TOBEPAID!J516/1000</f>
        <v>0</v>
      </c>
      <c r="K676" s="19">
        <f>[1]TOBEPAID!K516/1000</f>
        <v>0</v>
      </c>
      <c r="L676" s="19">
        <f>[1]TOBEPAID!L516/1000</f>
        <v>0</v>
      </c>
      <c r="M676" s="19">
        <f>[1]TOBEPAID!M516/1000</f>
        <v>0</v>
      </c>
      <c r="N676" s="19">
        <f>[1]TOBEPAID!N516/1000</f>
        <v>961.60034999999993</v>
      </c>
      <c r="O676" s="19">
        <f>[1]TOBEPAID!O516/1000</f>
        <v>0</v>
      </c>
      <c r="P676" s="19">
        <f>[1]TOBEPAID!P516/1000</f>
        <v>0</v>
      </c>
      <c r="Q676" s="19">
        <f>[1]TOBEPAID!Q516/1000</f>
        <v>0</v>
      </c>
      <c r="R676" s="19">
        <v>0</v>
      </c>
      <c r="S676" s="19">
        <f>[1]TOBEPAID!S516/1000</f>
        <v>0</v>
      </c>
      <c r="T676" s="19">
        <f>[1]TOBEPAID!T516/1000</f>
        <v>0</v>
      </c>
      <c r="U676" s="19">
        <f>[1]TOBEPAID!U516/1000</f>
        <v>0</v>
      </c>
      <c r="V676" s="19">
        <f>[1]TOBEPAID!V516/1000</f>
        <v>0</v>
      </c>
      <c r="W676" s="19">
        <f>[1]TOBEPAID!W516/1000</f>
        <v>0</v>
      </c>
      <c r="X676" s="19">
        <f>[1]TOBEPAID!X516/1000</f>
        <v>0</v>
      </c>
      <c r="Y676" s="19">
        <f>[1]TOBEPAID!Y516/1000</f>
        <v>961.60034999999993</v>
      </c>
      <c r="Z676" s="19">
        <f>[1]TOBEPAID!Z516/1000</f>
        <v>0</v>
      </c>
      <c r="AA676" s="19">
        <f>[1]TOBEPAID!AA516/1000</f>
        <v>961.60034999999993</v>
      </c>
      <c r="AB676" s="19">
        <f>[1]TOBEPAID!AB516/1000</f>
        <v>0</v>
      </c>
      <c r="AC676" s="19"/>
      <c r="AD676" s="19"/>
    </row>
    <row r="677" spans="1:30" x14ac:dyDescent="0.2">
      <c r="C677" s="20" t="s">
        <v>67</v>
      </c>
      <c r="D677" s="19">
        <f>77500000/1000</f>
        <v>77500</v>
      </c>
      <c r="E677" s="19">
        <f>[1]TOBEPAID!E517/1000</f>
        <v>26500</v>
      </c>
      <c r="F677" s="19">
        <f>[1]TOBEPAID!F517/1000</f>
        <v>3000</v>
      </c>
      <c r="G677" s="19">
        <f>[1]TOBEPAID!G517/1000</f>
        <v>0</v>
      </c>
      <c r="H677" s="19">
        <f>77500000/1000</f>
        <v>77500</v>
      </c>
      <c r="I677" s="19">
        <f>[1]TOBEPAID!I517/1000</f>
        <v>0</v>
      </c>
      <c r="J677" s="19">
        <f>[1]TOBEPAID!J517/1000</f>
        <v>0</v>
      </c>
      <c r="K677" s="19">
        <f>[1]TOBEPAID!K517/1000</f>
        <v>0</v>
      </c>
      <c r="L677" s="19">
        <f>[1]TOBEPAID!L517/1000</f>
        <v>0</v>
      </c>
      <c r="M677" s="19">
        <f>[1]TOBEPAID!M517/1000</f>
        <v>0</v>
      </c>
      <c r="N677" s="19">
        <f>[1]TOBEPAID!N517/1000</f>
        <v>29500</v>
      </c>
      <c r="O677" s="19">
        <f>[1]TOBEPAID!O517/1000</f>
        <v>0</v>
      </c>
      <c r="P677" s="19">
        <f>[1]TOBEPAID!P517/1000</f>
        <v>0</v>
      </c>
      <c r="Q677" s="19">
        <f>[1]TOBEPAID!Q517/1000</f>
        <v>0</v>
      </c>
      <c r="R677" s="19">
        <v>0</v>
      </c>
      <c r="S677" s="19">
        <f>[1]TOBEPAID!S517/1000</f>
        <v>0</v>
      </c>
      <c r="T677" s="19">
        <f>[1]TOBEPAID!T517/1000</f>
        <v>0</v>
      </c>
      <c r="U677" s="19">
        <f>[1]TOBEPAID!U517/1000</f>
        <v>0</v>
      </c>
      <c r="V677" s="19">
        <f>[1]TOBEPAID!V517/1000</f>
        <v>0</v>
      </c>
      <c r="W677" s="19">
        <f>[1]TOBEPAID!W517/1000</f>
        <v>0</v>
      </c>
      <c r="X677" s="19">
        <f>[1]TOBEPAID!X517/1000</f>
        <v>0</v>
      </c>
      <c r="Y677" s="19">
        <f>+H677+R677</f>
        <v>77500</v>
      </c>
      <c r="Z677" s="19">
        <f>[1]TOBEPAID!Z517/1000</f>
        <v>0</v>
      </c>
      <c r="AA677" s="19">
        <f>[1]TOBEPAID!AA517/1000</f>
        <v>29500</v>
      </c>
      <c r="AB677" s="19">
        <f>[1]TOBEPAID!AB517/1000</f>
        <v>0</v>
      </c>
      <c r="AC677" s="19"/>
      <c r="AD677" s="19"/>
    </row>
    <row r="678" spans="1:30" x14ac:dyDescent="0.2">
      <c r="A678" s="18"/>
      <c r="C678" s="17" t="s">
        <v>54</v>
      </c>
      <c r="D678" s="19">
        <v>0</v>
      </c>
      <c r="E678" s="19">
        <f>[1]TOBEPAID!E518/1000</f>
        <v>0</v>
      </c>
      <c r="F678" s="19">
        <f>[1]TOBEPAID!F518/1000</f>
        <v>0</v>
      </c>
      <c r="G678" s="19">
        <f>[1]TOBEPAID!G518/1000</f>
        <v>0</v>
      </c>
      <c r="H678" s="19">
        <v>0</v>
      </c>
      <c r="I678" s="19">
        <f>[1]TOBEPAID!I518/1000</f>
        <v>0</v>
      </c>
      <c r="J678" s="19">
        <f>[1]TOBEPAID!J518/1000</f>
        <v>0</v>
      </c>
      <c r="K678" s="19">
        <f>[1]TOBEPAID!K518/1000</f>
        <v>0</v>
      </c>
      <c r="L678" s="19">
        <f>[1]TOBEPAID!L518/1000</f>
        <v>0</v>
      </c>
      <c r="M678" s="19">
        <f>[1]TOBEPAID!M518/1000</f>
        <v>0</v>
      </c>
      <c r="N678" s="19">
        <f>[1]TOBEPAID!N518/1000</f>
        <v>0</v>
      </c>
      <c r="O678" s="19">
        <f>[1]TOBEPAID!O518/1000</f>
        <v>0</v>
      </c>
      <c r="P678" s="19">
        <f>[1]TOBEPAID!P518/1000</f>
        <v>0</v>
      </c>
      <c r="Q678" s="19">
        <f>[1]TOBEPAID!Q518/1000</f>
        <v>0</v>
      </c>
      <c r="R678" s="19">
        <v>0</v>
      </c>
      <c r="S678" s="19">
        <f>[1]TOBEPAID!S518/1000</f>
        <v>0</v>
      </c>
      <c r="T678" s="19">
        <f>[1]TOBEPAID!T518/1000</f>
        <v>0</v>
      </c>
      <c r="U678" s="19">
        <f>[1]TOBEPAID!U518/1000</f>
        <v>0</v>
      </c>
      <c r="V678" s="19">
        <f>[1]TOBEPAID!V518/1000</f>
        <v>0</v>
      </c>
      <c r="W678" s="19">
        <f>[1]TOBEPAID!W518/1000</f>
        <v>0</v>
      </c>
      <c r="X678" s="19">
        <f>[1]TOBEPAID!X518/1000</f>
        <v>0</v>
      </c>
      <c r="Y678" s="19">
        <f>[1]TOBEPAID!Y518/1000</f>
        <v>0</v>
      </c>
      <c r="Z678" s="19">
        <v>0</v>
      </c>
      <c r="AA678" s="19">
        <f>[1]TOBEPAID!AA518/1000</f>
        <v>0</v>
      </c>
      <c r="AB678" s="19">
        <f>[1]TOBEPAID!AB518/1000</f>
        <v>11433.63723</v>
      </c>
      <c r="AC678" s="19"/>
      <c r="AD678" s="19"/>
    </row>
    <row r="679" spans="1:30" x14ac:dyDescent="0.2">
      <c r="A679" s="18"/>
      <c r="C679" s="31" t="s">
        <v>56</v>
      </c>
      <c r="D679" s="19">
        <v>0</v>
      </c>
      <c r="E679" s="19">
        <f>[1]TOBEPAID!E519/1000</f>
        <v>0</v>
      </c>
      <c r="F679" s="19">
        <f>[1]TOBEPAID!F519/1000</f>
        <v>0</v>
      </c>
      <c r="G679" s="19">
        <f>[1]TOBEPAID!G519/1000</f>
        <v>0</v>
      </c>
      <c r="H679" s="19">
        <v>0</v>
      </c>
      <c r="I679" s="19">
        <f>[1]TOBEPAID!I519/1000</f>
        <v>0</v>
      </c>
      <c r="J679" s="19">
        <f>[1]TOBEPAID!J519/1000</f>
        <v>0</v>
      </c>
      <c r="K679" s="19">
        <f>[1]TOBEPAID!K519/1000</f>
        <v>0</v>
      </c>
      <c r="L679" s="19">
        <f>[1]TOBEPAID!L519/1000</f>
        <v>0</v>
      </c>
      <c r="M679" s="19">
        <f>[1]TOBEPAID!M519/1000</f>
        <v>0</v>
      </c>
      <c r="N679" s="19">
        <f>[1]TOBEPAID!N519/1000</f>
        <v>0</v>
      </c>
      <c r="O679" s="19">
        <f>[1]TOBEPAID!O519/1000</f>
        <v>0</v>
      </c>
      <c r="P679" s="19">
        <f>[1]TOBEPAID!P519/1000</f>
        <v>0</v>
      </c>
      <c r="Q679" s="19">
        <f>[1]TOBEPAID!Q519/1000</f>
        <v>0</v>
      </c>
      <c r="R679" s="19">
        <v>0</v>
      </c>
      <c r="S679" s="19">
        <f>[1]TOBEPAID!S519/1000</f>
        <v>0</v>
      </c>
      <c r="T679" s="19">
        <f>[1]TOBEPAID!T519/1000</f>
        <v>0</v>
      </c>
      <c r="U679" s="19">
        <f>[1]TOBEPAID!U519/1000</f>
        <v>0</v>
      </c>
      <c r="V679" s="19">
        <f>[1]TOBEPAID!V519/1000</f>
        <v>0</v>
      </c>
      <c r="W679" s="19">
        <f>[1]TOBEPAID!W519/1000</f>
        <v>0</v>
      </c>
      <c r="X679" s="19">
        <f>[1]TOBEPAID!X519/1000</f>
        <v>0</v>
      </c>
      <c r="Y679" s="19">
        <f>[1]TOBEPAID!Y519/1000</f>
        <v>0</v>
      </c>
      <c r="Z679" s="19">
        <v>0</v>
      </c>
      <c r="AA679" s="19">
        <f>[1]TOBEPAID!AA519/1000</f>
        <v>0</v>
      </c>
      <c r="AB679" s="19">
        <f>[1]TOBEPAID!AB519/1000</f>
        <v>2487.8421200000003</v>
      </c>
      <c r="AC679" s="19"/>
      <c r="AD679" s="19"/>
    </row>
    <row r="680" spans="1:30" x14ac:dyDescent="0.2">
      <c r="A680" s="18"/>
      <c r="D680" s="21" t="s">
        <v>57</v>
      </c>
      <c r="E680" s="21" t="s">
        <v>57</v>
      </c>
      <c r="F680" s="21" t="s">
        <v>57</v>
      </c>
      <c r="G680" s="21"/>
      <c r="H680" s="21" t="s">
        <v>57</v>
      </c>
      <c r="I680" s="21" t="s">
        <v>57</v>
      </c>
      <c r="J680" s="21" t="s">
        <v>57</v>
      </c>
      <c r="K680" s="21" t="s">
        <v>57</v>
      </c>
      <c r="L680" s="21" t="s">
        <v>57</v>
      </c>
      <c r="M680" s="21"/>
      <c r="N680" s="21" t="s">
        <v>57</v>
      </c>
      <c r="O680" s="21" t="s">
        <v>57</v>
      </c>
      <c r="P680" s="21" t="s">
        <v>57</v>
      </c>
      <c r="Q680" s="21"/>
      <c r="R680" s="21" t="s">
        <v>57</v>
      </c>
      <c r="S680" s="21" t="s">
        <v>57</v>
      </c>
      <c r="T680" s="21" t="s">
        <v>57</v>
      </c>
      <c r="U680" s="21" t="s">
        <v>57</v>
      </c>
      <c r="V680" s="21" t="s">
        <v>57</v>
      </c>
      <c r="W680" s="21"/>
      <c r="X680" s="21" t="s">
        <v>57</v>
      </c>
      <c r="Y680" s="21" t="s">
        <v>57</v>
      </c>
      <c r="Z680" s="21" t="s">
        <v>57</v>
      </c>
      <c r="AA680" s="21" t="s">
        <v>57</v>
      </c>
      <c r="AB680" s="21" t="s">
        <v>57</v>
      </c>
      <c r="AC680" s="21"/>
      <c r="AD680" s="21"/>
    </row>
    <row r="681" spans="1:30" x14ac:dyDescent="0.2">
      <c r="A681" s="18"/>
      <c r="D681" s="19">
        <f>SUM(D672:D679)</f>
        <v>156818.826</v>
      </c>
      <c r="E681" s="19">
        <f>SUM(E672:E679)</f>
        <v>44956.004759999996</v>
      </c>
      <c r="F681" s="19">
        <f>SUM(F672:F679)</f>
        <v>3000</v>
      </c>
      <c r="G681" s="19"/>
      <c r="H681" s="19">
        <f>SUM(H672:H679)</f>
        <v>144474.50400000002</v>
      </c>
      <c r="I681" s="19">
        <f>SUM(I672:I679)</f>
        <v>0</v>
      </c>
      <c r="J681" s="19">
        <f>SUM(J672:J679)</f>
        <v>0</v>
      </c>
      <c r="K681" s="19">
        <f>SUM(K672:K679)</f>
        <v>0</v>
      </c>
      <c r="L681" s="19">
        <f>SUM(L672:L679)</f>
        <v>0</v>
      </c>
      <c r="M681" s="19"/>
      <c r="N681" s="19">
        <f>SUM(N672:N679)</f>
        <v>47956.004759999996</v>
      </c>
      <c r="O681" s="19">
        <f>SUM(O672:O679)</f>
        <v>2104.5374900000002</v>
      </c>
      <c r="P681" s="19">
        <f>SUM(P672:P679)</f>
        <v>0</v>
      </c>
      <c r="Q681" s="19"/>
      <c r="R681" s="19">
        <f>SUM(R672:R679)</f>
        <v>85.394000000000005</v>
      </c>
      <c r="S681" s="19">
        <f>SUM(S672:S679)</f>
        <v>0</v>
      </c>
      <c r="T681" s="19">
        <f>SUM(T672:T679)</f>
        <v>0</v>
      </c>
      <c r="U681" s="19">
        <f>SUM(U672:U679)</f>
        <v>0</v>
      </c>
      <c r="V681" s="19">
        <f>SUM(V672:V679)</f>
        <v>0</v>
      </c>
      <c r="W681" s="19"/>
      <c r="X681" s="19">
        <f>SUM(X672:X679)</f>
        <v>2104.5374900000002</v>
      </c>
      <c r="Y681" s="19">
        <f>SUM(Y672:Y679)</f>
        <v>144559.89861999999</v>
      </c>
      <c r="Z681" s="19">
        <f>SUM(Z672:Z679)</f>
        <v>12258.928</v>
      </c>
      <c r="AA681" s="19">
        <f>SUM(AA672:AA679)</f>
        <v>50060.542249999999</v>
      </c>
      <c r="AB681" s="19">
        <f>SUM(AB672:AB679)</f>
        <v>48758.285280000004</v>
      </c>
      <c r="AC681" s="19"/>
      <c r="AD681" s="19"/>
    </row>
    <row r="682" spans="1:30" x14ac:dyDescent="0.2">
      <c r="A682" s="18"/>
      <c r="D682" s="21" t="s">
        <v>57</v>
      </c>
      <c r="E682" s="21" t="s">
        <v>57</v>
      </c>
      <c r="F682" s="21" t="s">
        <v>57</v>
      </c>
      <c r="G682" s="21"/>
      <c r="H682" s="21" t="s">
        <v>57</v>
      </c>
      <c r="I682" s="21" t="s">
        <v>57</v>
      </c>
      <c r="J682" s="21" t="s">
        <v>57</v>
      </c>
      <c r="K682" s="21" t="s">
        <v>57</v>
      </c>
      <c r="L682" s="21" t="s">
        <v>57</v>
      </c>
      <c r="M682" s="21"/>
      <c r="N682" s="21" t="s">
        <v>57</v>
      </c>
      <c r="O682" s="21" t="s">
        <v>57</v>
      </c>
      <c r="P682" s="21" t="s">
        <v>57</v>
      </c>
      <c r="Q682" s="21"/>
      <c r="R682" s="21" t="s">
        <v>57</v>
      </c>
      <c r="S682" s="21" t="s">
        <v>57</v>
      </c>
      <c r="T682" s="21" t="s">
        <v>57</v>
      </c>
      <c r="U682" s="21" t="s">
        <v>57</v>
      </c>
      <c r="V682" s="21" t="s">
        <v>57</v>
      </c>
      <c r="W682" s="21"/>
      <c r="X682" s="21" t="s">
        <v>57</v>
      </c>
      <c r="Y682" s="21" t="s">
        <v>57</v>
      </c>
      <c r="Z682" s="21" t="s">
        <v>57</v>
      </c>
      <c r="AA682" s="21" t="s">
        <v>57</v>
      </c>
      <c r="AB682" s="21" t="s">
        <v>57</v>
      </c>
      <c r="AC682" s="21"/>
      <c r="AD682" s="21"/>
    </row>
    <row r="683" spans="1:30" x14ac:dyDescent="0.2">
      <c r="A683" s="18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1:30" x14ac:dyDescent="0.2">
      <c r="A684" s="18">
        <v>50</v>
      </c>
      <c r="B684" s="17" t="s">
        <v>241</v>
      </c>
      <c r="C684" s="17" t="s">
        <v>51</v>
      </c>
      <c r="D684" s="19">
        <f>45123415/1000</f>
        <v>45123.415000000001</v>
      </c>
      <c r="E684" s="19">
        <f>[1]TOBEPAID!E524/1000</f>
        <v>0</v>
      </c>
      <c r="F684" s="19">
        <f>[1]TOBEPAID!F524/1000</f>
        <v>0</v>
      </c>
      <c r="G684" s="19">
        <f>[1]TOBEPAID!G524/1000</f>
        <v>0</v>
      </c>
      <c r="H684" s="19">
        <f>28085933/1000</f>
        <v>28085.933000000001</v>
      </c>
      <c r="I684" s="19">
        <f>[1]TOBEPAID!I524/1000</f>
        <v>0</v>
      </c>
      <c r="J684" s="19">
        <f>[1]TOBEPAID!J524/1000</f>
        <v>0</v>
      </c>
      <c r="K684" s="19">
        <f>[1]TOBEPAID!K524/1000</f>
        <v>0</v>
      </c>
      <c r="L684" s="19">
        <f>[1]TOBEPAID!L524/1000</f>
        <v>0</v>
      </c>
      <c r="M684" s="19">
        <f>[1]TOBEPAID!M524/1000</f>
        <v>0</v>
      </c>
      <c r="N684" s="19">
        <f>[1]TOBEPAID!N524/1000</f>
        <v>0</v>
      </c>
      <c r="O684" s="19">
        <f>[1]TOBEPAID!O524/1000</f>
        <v>15288.522569999999</v>
      </c>
      <c r="P684" s="19">
        <f>[1]TOBEPAID!P524/1000</f>
        <v>0</v>
      </c>
      <c r="Q684" s="19">
        <f>[1]TOBEPAID!Q524/1000</f>
        <v>0</v>
      </c>
      <c r="R684" s="19">
        <f>16834118/1000</f>
        <v>16834.117999999999</v>
      </c>
      <c r="S684" s="19">
        <f>[1]TOBEPAID!S524/1000</f>
        <v>8036.9875499999998</v>
      </c>
      <c r="T684" s="19">
        <f>[1]TOBEPAID!T524/1000</f>
        <v>2809.7527999999998</v>
      </c>
      <c r="U684" s="19">
        <f>[1]TOBEPAID!U524/1000</f>
        <v>0</v>
      </c>
      <c r="V684" s="19">
        <f>[1]TOBEPAID!V524/1000</f>
        <v>0</v>
      </c>
      <c r="W684" s="19">
        <f>[1]TOBEPAID!W524/1000</f>
        <v>0</v>
      </c>
      <c r="X684" s="19">
        <f>[1]TOBEPAID!X524/1000</f>
        <v>15288.522569999999</v>
      </c>
      <c r="Y684" s="19">
        <f t="shared" ref="Y684:Y692" si="123">+H684+R684</f>
        <v>44920.050999999999</v>
      </c>
      <c r="Z684" s="19">
        <f t="shared" ref="Z684:Z692" si="124">+D684-Y684</f>
        <v>203.3640000000014</v>
      </c>
      <c r="AA684" s="19">
        <f>[1]TOBEPAID!AA524/1000</f>
        <v>15288.522569999999</v>
      </c>
      <c r="AB684" s="19">
        <f>[1]TOBEPAID!AB524/1000</f>
        <v>4319.9105300000028</v>
      </c>
      <c r="AC684" s="19"/>
      <c r="AD684" s="19"/>
    </row>
    <row r="685" spans="1:30" x14ac:dyDescent="0.2">
      <c r="A685" s="18"/>
      <c r="C685" s="20" t="s">
        <v>52</v>
      </c>
      <c r="D685" s="19">
        <f>4910344/1000</f>
        <v>4910.3440000000001</v>
      </c>
      <c r="E685" s="19">
        <f>[1]TOBEPAID!E525/1000</f>
        <v>4910.3446299999996</v>
      </c>
      <c r="F685" s="19">
        <f>[1]TOBEPAID!F525/1000</f>
        <v>0</v>
      </c>
      <c r="G685" s="19">
        <f>[1]TOBEPAID!G525/1000</f>
        <v>0</v>
      </c>
      <c r="H685" s="19">
        <f>4910344/1000</f>
        <v>4910.3440000000001</v>
      </c>
      <c r="I685" s="19">
        <f>[1]TOBEPAID!I525/1000</f>
        <v>0</v>
      </c>
      <c r="J685" s="19">
        <f>[1]TOBEPAID!J525/1000</f>
        <v>0</v>
      </c>
      <c r="K685" s="19">
        <f>[1]TOBEPAID!K525/1000</f>
        <v>0</v>
      </c>
      <c r="L685" s="19">
        <f>[1]TOBEPAID!L525/1000</f>
        <v>0</v>
      </c>
      <c r="M685" s="19">
        <f>[1]TOBEPAID!M525/1000</f>
        <v>0</v>
      </c>
      <c r="N685" s="19">
        <f>[1]TOBEPAID!N525/1000</f>
        <v>4910.3446299999996</v>
      </c>
      <c r="O685" s="19">
        <f>[1]TOBEPAID!O525/1000</f>
        <v>0</v>
      </c>
      <c r="P685" s="19">
        <f>[1]TOBEPAID!P525/1000</f>
        <v>0</v>
      </c>
      <c r="Q685" s="19">
        <f>[1]TOBEPAID!Q525/1000</f>
        <v>0</v>
      </c>
      <c r="R685" s="19">
        <v>0</v>
      </c>
      <c r="S685" s="19">
        <f>[1]TOBEPAID!S525/1000</f>
        <v>0</v>
      </c>
      <c r="T685" s="19">
        <f>[1]TOBEPAID!T525/1000</f>
        <v>0</v>
      </c>
      <c r="U685" s="19">
        <f>[1]TOBEPAID!U525/1000</f>
        <v>0</v>
      </c>
      <c r="V685" s="19">
        <f>[1]TOBEPAID!V525/1000</f>
        <v>0</v>
      </c>
      <c r="W685" s="19">
        <f>[1]TOBEPAID!W525/1000</f>
        <v>0</v>
      </c>
      <c r="X685" s="19">
        <f>[1]TOBEPAID!X525/1000</f>
        <v>0</v>
      </c>
      <c r="Y685" s="19">
        <f t="shared" si="123"/>
        <v>4910.3440000000001</v>
      </c>
      <c r="Z685" s="19">
        <f t="shared" si="124"/>
        <v>0</v>
      </c>
      <c r="AA685" s="19">
        <f>[1]TOBEPAID!AA525/1000</f>
        <v>4910.3446299999996</v>
      </c>
      <c r="AB685" s="19">
        <f>[1]TOBEPAID!AB525/1000</f>
        <v>0</v>
      </c>
      <c r="AC685" s="19"/>
      <c r="AD685" s="19"/>
    </row>
    <row r="686" spans="1:30" x14ac:dyDescent="0.2">
      <c r="A686" s="18"/>
      <c r="C686" s="20" t="s">
        <v>181</v>
      </c>
      <c r="D686" s="19">
        <f>235135000/1000</f>
        <v>235135</v>
      </c>
      <c r="E686" s="19"/>
      <c r="F686" s="19"/>
      <c r="G686" s="19"/>
      <c r="H686" s="19">
        <f>11000000/1000</f>
        <v>11000</v>
      </c>
      <c r="I686" s="19"/>
      <c r="J686" s="19"/>
      <c r="K686" s="19"/>
      <c r="L686" s="19"/>
      <c r="M686" s="19"/>
      <c r="N686" s="19"/>
      <c r="O686" s="19"/>
      <c r="P686" s="19"/>
      <c r="Q686" s="19"/>
      <c r="R686" s="19">
        <v>0</v>
      </c>
      <c r="S686" s="19"/>
      <c r="T686" s="19"/>
      <c r="U686" s="19"/>
      <c r="V686" s="19"/>
      <c r="W686" s="19"/>
      <c r="X686" s="19"/>
      <c r="Y686" s="19">
        <f>+H686+R686</f>
        <v>11000</v>
      </c>
      <c r="Z686" s="19">
        <f t="shared" si="124"/>
        <v>224135</v>
      </c>
      <c r="AA686" s="19"/>
      <c r="AB686" s="19"/>
      <c r="AC686" s="19"/>
      <c r="AD686" s="19"/>
    </row>
    <row r="687" spans="1:30" x14ac:dyDescent="0.2">
      <c r="A687" s="18"/>
      <c r="C687" s="20" t="s">
        <v>161</v>
      </c>
      <c r="D687" s="19">
        <f>23757750/1000</f>
        <v>23757.75</v>
      </c>
      <c r="E687" s="19"/>
      <c r="F687" s="19"/>
      <c r="G687" s="19"/>
      <c r="H687" s="19">
        <f>23757750/1000</f>
        <v>23757.75</v>
      </c>
      <c r="I687" s="19"/>
      <c r="J687" s="19"/>
      <c r="K687" s="19"/>
      <c r="L687" s="19"/>
      <c r="M687" s="19"/>
      <c r="N687" s="19"/>
      <c r="O687" s="19"/>
      <c r="P687" s="19"/>
      <c r="Q687" s="19"/>
      <c r="R687" s="19">
        <v>0</v>
      </c>
      <c r="S687" s="19"/>
      <c r="T687" s="19"/>
      <c r="U687" s="19"/>
      <c r="V687" s="19"/>
      <c r="W687" s="19"/>
      <c r="X687" s="19"/>
      <c r="Y687" s="19">
        <f t="shared" si="123"/>
        <v>23757.75</v>
      </c>
      <c r="Z687" s="19">
        <f t="shared" si="124"/>
        <v>0</v>
      </c>
      <c r="AA687" s="19"/>
      <c r="AB687" s="19"/>
      <c r="AC687" s="19"/>
      <c r="AD687" s="19"/>
    </row>
    <row r="688" spans="1:30" x14ac:dyDescent="0.2">
      <c r="A688" s="18"/>
      <c r="C688" s="20" t="s">
        <v>242</v>
      </c>
      <c r="D688" s="19">
        <f>8218666.17/1000</f>
        <v>8218.6661700000004</v>
      </c>
      <c r="E688" s="19"/>
      <c r="F688" s="19"/>
      <c r="G688" s="19"/>
      <c r="H688" s="19">
        <f>8218666.17/1000</f>
        <v>8218.6661700000004</v>
      </c>
      <c r="I688" s="19"/>
      <c r="J688" s="19"/>
      <c r="K688" s="19"/>
      <c r="L688" s="19"/>
      <c r="M688" s="19"/>
      <c r="N688" s="19"/>
      <c r="O688" s="19"/>
      <c r="P688" s="19"/>
      <c r="Q688" s="19"/>
      <c r="R688" s="19">
        <v>0</v>
      </c>
      <c r="S688" s="19"/>
      <c r="T688" s="19"/>
      <c r="U688" s="19"/>
      <c r="V688" s="19"/>
      <c r="W688" s="19"/>
      <c r="X688" s="19"/>
      <c r="Y688" s="19">
        <f>+H688+R688</f>
        <v>8218.6661700000004</v>
      </c>
      <c r="Z688" s="19">
        <f t="shared" si="124"/>
        <v>0</v>
      </c>
      <c r="AA688" s="19"/>
      <c r="AB688" s="19"/>
      <c r="AC688" s="19"/>
      <c r="AD688" s="19"/>
    </row>
    <row r="689" spans="1:30" x14ac:dyDescent="0.2">
      <c r="C689" s="3" t="s">
        <v>78</v>
      </c>
      <c r="D689" s="19">
        <f>4800000/1000</f>
        <v>4800</v>
      </c>
      <c r="E689" s="19">
        <f>[1]TOBEPAID!E526/1000</f>
        <v>4800</v>
      </c>
      <c r="F689" s="19">
        <f>[1]TOBEPAID!F526/1000</f>
        <v>0</v>
      </c>
      <c r="G689" s="19">
        <f>[1]TOBEPAID!G526/1000</f>
        <v>0</v>
      </c>
      <c r="H689" s="19">
        <f>4800000/1000</f>
        <v>4800</v>
      </c>
      <c r="I689" s="19">
        <f>[1]TOBEPAID!I526/1000</f>
        <v>0</v>
      </c>
      <c r="J689" s="19">
        <f>[1]TOBEPAID!J526/1000</f>
        <v>0</v>
      </c>
      <c r="K689" s="19">
        <f>[1]TOBEPAID!K526/1000</f>
        <v>0</v>
      </c>
      <c r="L689" s="19">
        <f>[1]TOBEPAID!L526/1000</f>
        <v>0</v>
      </c>
      <c r="M689" s="19">
        <f>[1]TOBEPAID!M526/1000</f>
        <v>0</v>
      </c>
      <c r="N689" s="19">
        <f>[1]TOBEPAID!N526/1000</f>
        <v>4800</v>
      </c>
      <c r="O689" s="19">
        <f>[1]TOBEPAID!O526/1000</f>
        <v>0</v>
      </c>
      <c r="P689" s="19">
        <f>[1]TOBEPAID!P526/1000</f>
        <v>0</v>
      </c>
      <c r="Q689" s="19">
        <f>[1]TOBEPAID!Q526/1000</f>
        <v>0</v>
      </c>
      <c r="R689" s="19">
        <v>0</v>
      </c>
      <c r="S689" s="19">
        <f>[1]TOBEPAID!S526/1000</f>
        <v>0</v>
      </c>
      <c r="T689" s="19">
        <f>[1]TOBEPAID!T526/1000</f>
        <v>0</v>
      </c>
      <c r="U689" s="19">
        <f>[1]TOBEPAID!U526/1000</f>
        <v>0</v>
      </c>
      <c r="V689" s="19">
        <f>[1]TOBEPAID!V526/1000</f>
        <v>0</v>
      </c>
      <c r="W689" s="19">
        <f>[1]TOBEPAID!W526/1000</f>
        <v>0</v>
      </c>
      <c r="X689" s="19">
        <f>[1]TOBEPAID!X526/1000</f>
        <v>0</v>
      </c>
      <c r="Y689" s="19">
        <f t="shared" si="123"/>
        <v>4800</v>
      </c>
      <c r="Z689" s="19">
        <f t="shared" si="124"/>
        <v>0</v>
      </c>
      <c r="AA689" s="19">
        <f>[1]TOBEPAID!AA526/1000</f>
        <v>4800</v>
      </c>
      <c r="AB689" s="19">
        <f>[1]TOBEPAID!AB526/1000</f>
        <v>0</v>
      </c>
      <c r="AC689" s="19"/>
      <c r="AD689" s="19"/>
    </row>
    <row r="690" spans="1:30" x14ac:dyDescent="0.2">
      <c r="C690" s="3" t="s">
        <v>128</v>
      </c>
      <c r="D690" s="19">
        <f>93000000/1000</f>
        <v>93000</v>
      </c>
      <c r="E690" s="19"/>
      <c r="F690" s="19"/>
      <c r="G690" s="19"/>
      <c r="H690" s="19">
        <f>93000000/1000</f>
        <v>93000</v>
      </c>
      <c r="I690" s="19"/>
      <c r="J690" s="19"/>
      <c r="K690" s="19"/>
      <c r="L690" s="19"/>
      <c r="M690" s="19"/>
      <c r="N690" s="19"/>
      <c r="O690" s="19"/>
      <c r="P690" s="19"/>
      <c r="Q690" s="19"/>
      <c r="R690" s="19">
        <v>0</v>
      </c>
      <c r="S690" s="19"/>
      <c r="T690" s="19"/>
      <c r="U690" s="19"/>
      <c r="V690" s="19"/>
      <c r="W690" s="19"/>
      <c r="X690" s="19"/>
      <c r="Y690" s="19">
        <f t="shared" si="123"/>
        <v>93000</v>
      </c>
      <c r="Z690" s="19">
        <f t="shared" si="124"/>
        <v>0</v>
      </c>
      <c r="AA690" s="19"/>
      <c r="AB690" s="19"/>
      <c r="AC690" s="19"/>
      <c r="AD690" s="19"/>
    </row>
    <row r="691" spans="1:30" x14ac:dyDescent="0.2">
      <c r="A691" s="18"/>
      <c r="C691" s="17" t="s">
        <v>54</v>
      </c>
      <c r="D691" s="19">
        <f>722545/1000</f>
        <v>722.54499999999996</v>
      </c>
      <c r="E691" s="19">
        <f>[1]TOBEPAID!E527/1000</f>
        <v>0</v>
      </c>
      <c r="F691" s="19">
        <f>[1]TOBEPAID!F527/1000</f>
        <v>0</v>
      </c>
      <c r="G691" s="19">
        <f>[1]TOBEPAID!G527/1000</f>
        <v>0</v>
      </c>
      <c r="H691" s="19">
        <v>0</v>
      </c>
      <c r="I691" s="19">
        <f>[1]TOBEPAID!I527/1000</f>
        <v>0</v>
      </c>
      <c r="J691" s="19">
        <f>[1]TOBEPAID!J527/1000</f>
        <v>0</v>
      </c>
      <c r="K691" s="19">
        <f>[1]TOBEPAID!K527/1000</f>
        <v>0</v>
      </c>
      <c r="L691" s="19">
        <f>[1]TOBEPAID!L527/1000</f>
        <v>0</v>
      </c>
      <c r="M691" s="19">
        <f>[1]TOBEPAID!M527/1000</f>
        <v>0</v>
      </c>
      <c r="N691" s="19">
        <f>[1]TOBEPAID!N527/1000</f>
        <v>0</v>
      </c>
      <c r="O691" s="19">
        <f>[1]TOBEPAID!O527/1000</f>
        <v>722.5458000000001</v>
      </c>
      <c r="P691" s="19">
        <f>[1]TOBEPAID!P527/1000</f>
        <v>0</v>
      </c>
      <c r="Q691" s="19">
        <f>[1]TOBEPAID!Q527/1000</f>
        <v>0</v>
      </c>
      <c r="R691" s="19">
        <f>722545/1000</f>
        <v>722.54499999999996</v>
      </c>
      <c r="S691" s="19">
        <f>[1]TOBEPAID!S527/1000</f>
        <v>0</v>
      </c>
      <c r="T691" s="19">
        <f>[1]TOBEPAID!T527/1000</f>
        <v>0</v>
      </c>
      <c r="U691" s="19">
        <f>[1]TOBEPAID!U527/1000</f>
        <v>0</v>
      </c>
      <c r="V691" s="19">
        <f>[1]TOBEPAID!V527/1000</f>
        <v>0</v>
      </c>
      <c r="W691" s="19">
        <f>[1]TOBEPAID!W527/1000</f>
        <v>0</v>
      </c>
      <c r="X691" s="19">
        <f>[1]TOBEPAID!X527/1000</f>
        <v>722.5458000000001</v>
      </c>
      <c r="Y691" s="19">
        <f t="shared" si="123"/>
        <v>722.54499999999996</v>
      </c>
      <c r="Z691" s="19">
        <f t="shared" si="124"/>
        <v>0</v>
      </c>
      <c r="AA691" s="19">
        <f>[1]TOBEPAID!AA527/1000</f>
        <v>722.5458000000001</v>
      </c>
      <c r="AB691" s="19">
        <f>[1]TOBEPAID!AB527/1000</f>
        <v>45185.880640000003</v>
      </c>
      <c r="AC691" s="19"/>
      <c r="AD691" s="19"/>
    </row>
    <row r="692" spans="1:30" x14ac:dyDescent="0.2">
      <c r="A692" s="18"/>
      <c r="C692" s="31" t="s">
        <v>56</v>
      </c>
      <c r="D692" s="19">
        <v>0</v>
      </c>
      <c r="E692" s="19">
        <f>[1]TOBEPAID!E528/1000</f>
        <v>0</v>
      </c>
      <c r="F692" s="19">
        <f>[1]TOBEPAID!F528/1000</f>
        <v>0</v>
      </c>
      <c r="G692" s="19">
        <f>[1]TOBEPAID!G528/1000</f>
        <v>0</v>
      </c>
      <c r="H692" s="19">
        <v>0</v>
      </c>
      <c r="I692" s="19">
        <f>[1]TOBEPAID!I528/1000</f>
        <v>0</v>
      </c>
      <c r="J692" s="19">
        <f>[1]TOBEPAID!J528/1000</f>
        <v>0</v>
      </c>
      <c r="K692" s="19">
        <f>[1]TOBEPAID!K528/1000</f>
        <v>0</v>
      </c>
      <c r="L692" s="19">
        <f>[1]TOBEPAID!L528/1000</f>
        <v>0</v>
      </c>
      <c r="M692" s="19">
        <f>[1]TOBEPAID!M528/1000</f>
        <v>0</v>
      </c>
      <c r="N692" s="19">
        <f>[1]TOBEPAID!N528/1000</f>
        <v>0</v>
      </c>
      <c r="O692" s="19">
        <f>[1]TOBEPAID!O528/1000</f>
        <v>0</v>
      </c>
      <c r="P692" s="19">
        <f>[1]TOBEPAID!P528/1000</f>
        <v>0</v>
      </c>
      <c r="Q692" s="19">
        <f>[1]TOBEPAID!Q528/1000</f>
        <v>0</v>
      </c>
      <c r="R692" s="19">
        <v>0</v>
      </c>
      <c r="S692" s="19">
        <f>[1]TOBEPAID!S528/1000</f>
        <v>0</v>
      </c>
      <c r="T692" s="19">
        <f>[1]TOBEPAID!T528/1000</f>
        <v>0</v>
      </c>
      <c r="U692" s="19">
        <f>[1]TOBEPAID!U528/1000</f>
        <v>0</v>
      </c>
      <c r="V692" s="19">
        <f>[1]TOBEPAID!V528/1000</f>
        <v>0</v>
      </c>
      <c r="W692" s="19">
        <f>[1]TOBEPAID!W528/1000</f>
        <v>0</v>
      </c>
      <c r="X692" s="19">
        <f>[1]TOBEPAID!X528/1000</f>
        <v>0</v>
      </c>
      <c r="Y692" s="19">
        <f t="shared" si="123"/>
        <v>0</v>
      </c>
      <c r="Z692" s="19">
        <f t="shared" si="124"/>
        <v>0</v>
      </c>
      <c r="AA692" s="19">
        <f>[1]TOBEPAID!AA528/1000</f>
        <v>0</v>
      </c>
      <c r="AB692" s="19">
        <f>[1]TOBEPAID!AB528/1000</f>
        <v>4086.8522400000002</v>
      </c>
      <c r="AC692" s="19"/>
      <c r="AD692" s="19"/>
    </row>
    <row r="693" spans="1:30" x14ac:dyDescent="0.2">
      <c r="A693" s="18"/>
      <c r="D693" s="21" t="s">
        <v>57</v>
      </c>
      <c r="E693" s="21" t="s">
        <v>57</v>
      </c>
      <c r="F693" s="21" t="s">
        <v>57</v>
      </c>
      <c r="G693" s="21"/>
      <c r="H693" s="21" t="s">
        <v>57</v>
      </c>
      <c r="I693" s="21" t="s">
        <v>57</v>
      </c>
      <c r="J693" s="21" t="s">
        <v>57</v>
      </c>
      <c r="K693" s="21" t="s">
        <v>57</v>
      </c>
      <c r="L693" s="21" t="s">
        <v>57</v>
      </c>
      <c r="M693" s="21"/>
      <c r="N693" s="21" t="s">
        <v>57</v>
      </c>
      <c r="O693" s="21" t="s">
        <v>57</v>
      </c>
      <c r="P693" s="21" t="s">
        <v>57</v>
      </c>
      <c r="Q693" s="21"/>
      <c r="R693" s="21" t="s">
        <v>57</v>
      </c>
      <c r="S693" s="21" t="s">
        <v>57</v>
      </c>
      <c r="T693" s="21" t="s">
        <v>57</v>
      </c>
      <c r="U693" s="21" t="s">
        <v>57</v>
      </c>
      <c r="V693" s="21" t="s">
        <v>57</v>
      </c>
      <c r="W693" s="21"/>
      <c r="X693" s="21" t="s">
        <v>57</v>
      </c>
      <c r="Y693" s="21" t="s">
        <v>57</v>
      </c>
      <c r="Z693" s="21" t="s">
        <v>57</v>
      </c>
      <c r="AA693" s="21" t="s">
        <v>57</v>
      </c>
      <c r="AB693" s="21" t="s">
        <v>57</v>
      </c>
      <c r="AC693" s="21"/>
      <c r="AD693" s="21"/>
    </row>
    <row r="694" spans="1:30" x14ac:dyDescent="0.2">
      <c r="A694" s="18"/>
      <c r="D694" s="19">
        <f>SUM(D684:D692)</f>
        <v>415667.72016999999</v>
      </c>
      <c r="E694" s="19">
        <f>SUM(E684:E692)</f>
        <v>9710.3446299999996</v>
      </c>
      <c r="F694" s="19">
        <f>SUM(F684:F692)</f>
        <v>0</v>
      </c>
      <c r="G694" s="19"/>
      <c r="H694" s="19">
        <f>SUM(H684:H692)</f>
        <v>173772.69316999998</v>
      </c>
      <c r="I694" s="19">
        <f>SUM(I684:I692)</f>
        <v>0</v>
      </c>
      <c r="J694" s="19">
        <f>SUM(J684:J692)</f>
        <v>0</v>
      </c>
      <c r="K694" s="19">
        <f>SUM(K684:K692)</f>
        <v>0</v>
      </c>
      <c r="L694" s="19">
        <f>SUM(L684:L692)</f>
        <v>0</v>
      </c>
      <c r="M694" s="19"/>
      <c r="N694" s="19">
        <f>SUM(N684:N692)</f>
        <v>9710.3446299999996</v>
      </c>
      <c r="O694" s="19">
        <f>SUM(O684:O692)</f>
        <v>16011.068369999999</v>
      </c>
      <c r="P694" s="19">
        <f>SUM(P684:P692)</f>
        <v>0</v>
      </c>
      <c r="Q694" s="19"/>
      <c r="R694" s="19">
        <f>SUM(R684:R692)</f>
        <v>17556.662999999997</v>
      </c>
      <c r="S694" s="19">
        <f>SUM(S684:S692)</f>
        <v>8036.9875499999998</v>
      </c>
      <c r="T694" s="19">
        <f>SUM(T684:T692)</f>
        <v>2809.7527999999998</v>
      </c>
      <c r="U694" s="19">
        <f>SUM(U684:U692)</f>
        <v>0</v>
      </c>
      <c r="V694" s="19">
        <f>SUM(V684:V692)</f>
        <v>0</v>
      </c>
      <c r="W694" s="19"/>
      <c r="X694" s="19">
        <f>SUM(X684:X692)</f>
        <v>16011.068369999999</v>
      </c>
      <c r="Y694" s="19">
        <f>SUM(Y684:Y692)</f>
        <v>191329.35617000001</v>
      </c>
      <c r="Z694" s="19">
        <f>SUM(Z684:Z692)</f>
        <v>224338.364</v>
      </c>
      <c r="AA694" s="19">
        <f>SUM(AA684:AA692)</f>
        <v>25721.413</v>
      </c>
      <c r="AB694" s="19">
        <f>SUM(AB684:AB692)</f>
        <v>53592.643410000004</v>
      </c>
      <c r="AC694" s="19"/>
      <c r="AD694" s="19"/>
    </row>
    <row r="695" spans="1:30" x14ac:dyDescent="0.2">
      <c r="A695" s="18"/>
      <c r="B695" s="9"/>
      <c r="D695" s="21" t="s">
        <v>57</v>
      </c>
      <c r="E695" s="21" t="s">
        <v>57</v>
      </c>
      <c r="F695" s="21" t="s">
        <v>57</v>
      </c>
      <c r="G695" s="21"/>
      <c r="H695" s="21" t="s">
        <v>57</v>
      </c>
      <c r="I695" s="21" t="s">
        <v>57</v>
      </c>
      <c r="J695" s="21" t="s">
        <v>57</v>
      </c>
      <c r="K695" s="21" t="s">
        <v>57</v>
      </c>
      <c r="L695" s="21" t="s">
        <v>57</v>
      </c>
      <c r="M695" s="21"/>
      <c r="N695" s="21" t="s">
        <v>57</v>
      </c>
      <c r="O695" s="21" t="s">
        <v>57</v>
      </c>
      <c r="P695" s="21" t="s">
        <v>57</v>
      </c>
      <c r="Q695" s="21"/>
      <c r="R695" s="21" t="s">
        <v>57</v>
      </c>
      <c r="S695" s="21" t="s">
        <v>57</v>
      </c>
      <c r="T695" s="21" t="s">
        <v>57</v>
      </c>
      <c r="U695" s="21" t="s">
        <v>57</v>
      </c>
      <c r="V695" s="21" t="s">
        <v>57</v>
      </c>
      <c r="W695" s="21"/>
      <c r="X695" s="21" t="s">
        <v>57</v>
      </c>
      <c r="Y695" s="21" t="s">
        <v>57</v>
      </c>
      <c r="Z695" s="21" t="s">
        <v>57</v>
      </c>
      <c r="AA695" s="21" t="s">
        <v>57</v>
      </c>
      <c r="AB695" s="21" t="s">
        <v>57</v>
      </c>
      <c r="AC695" s="21"/>
      <c r="AD695" s="21"/>
    </row>
    <row r="696" spans="1:30" x14ac:dyDescent="0.2">
      <c r="A696" s="18"/>
      <c r="B696" s="9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1:30" x14ac:dyDescent="0.2">
      <c r="A697" s="18">
        <v>51</v>
      </c>
      <c r="B697" s="17" t="s">
        <v>243</v>
      </c>
      <c r="C697" s="17" t="s">
        <v>51</v>
      </c>
      <c r="D697" s="19">
        <f>36967921.15/1000</f>
        <v>36967.921150000002</v>
      </c>
      <c r="E697" s="19">
        <f>[1]TOBEPAID!E533/1000</f>
        <v>0</v>
      </c>
      <c r="F697" s="19">
        <f>[1]TOBEPAID!F533/1000</f>
        <v>0</v>
      </c>
      <c r="G697" s="19">
        <f>[1]TOBEPAID!G533/1000</f>
        <v>0</v>
      </c>
      <c r="H697" s="19">
        <f>20520111/1000</f>
        <v>20520.111000000001</v>
      </c>
      <c r="I697" s="19">
        <f>[1]TOBEPAID!I533/1000</f>
        <v>0</v>
      </c>
      <c r="J697" s="19">
        <f>[1]TOBEPAID!J533/1000</f>
        <v>0</v>
      </c>
      <c r="K697" s="19">
        <f>[1]TOBEPAID!K533/1000</f>
        <v>0</v>
      </c>
      <c r="L697" s="19">
        <f>[1]TOBEPAID!L533/1000</f>
        <v>0</v>
      </c>
      <c r="M697" s="19">
        <f>[1]TOBEPAID!M533/1000</f>
        <v>0</v>
      </c>
      <c r="N697" s="19">
        <f>[1]TOBEPAID!N533/1000</f>
        <v>0</v>
      </c>
      <c r="O697" s="19">
        <f>[1]TOBEPAID!O533/1000</f>
        <v>2585.1795900000002</v>
      </c>
      <c r="P697" s="19">
        <f>[1]TOBEPAID!P533/1000</f>
        <v>0</v>
      </c>
      <c r="Q697" s="19">
        <f>[1]TOBEPAID!Q533/1000</f>
        <v>0</v>
      </c>
      <c r="R697" s="19">
        <f>2585179/1000</f>
        <v>2585.1790000000001</v>
      </c>
      <c r="S697" s="19">
        <f>[1]TOBEPAID!S533/1000</f>
        <v>0</v>
      </c>
      <c r="T697" s="19">
        <f>[1]TOBEPAID!T533/1000</f>
        <v>0</v>
      </c>
      <c r="U697" s="19">
        <f>[1]TOBEPAID!U533/1000</f>
        <v>0</v>
      </c>
      <c r="V697" s="19">
        <f>[1]TOBEPAID!V533/1000</f>
        <v>0</v>
      </c>
      <c r="W697" s="19">
        <f>[1]TOBEPAID!W533/1000</f>
        <v>0</v>
      </c>
      <c r="X697" s="19">
        <f>[1]TOBEPAID!X533/1000</f>
        <v>2585.1795900000002</v>
      </c>
      <c r="Y697" s="19">
        <f>+H697+R697</f>
        <v>23105.29</v>
      </c>
      <c r="Z697" s="19">
        <f>+D697-Y697</f>
        <v>13862.631150000001</v>
      </c>
      <c r="AA697" s="19">
        <f>[1]TOBEPAID!AA533/1000</f>
        <v>2585.1795900000002</v>
      </c>
      <c r="AB697" s="19">
        <f>[1]TOBEPAID!AB533/1000</f>
        <v>34382.741559999995</v>
      </c>
      <c r="AC697" s="19"/>
      <c r="AD697" s="19"/>
    </row>
    <row r="698" spans="1:30" x14ac:dyDescent="0.2">
      <c r="A698" s="18"/>
      <c r="C698" s="20" t="s">
        <v>52</v>
      </c>
      <c r="D698" s="19">
        <f>2957018/1000</f>
        <v>2957.018</v>
      </c>
      <c r="E698" s="19">
        <f>[1]TOBEPAID!E534/1000</f>
        <v>2957.0187299999998</v>
      </c>
      <c r="F698" s="19">
        <f>[1]TOBEPAID!F534/1000</f>
        <v>0</v>
      </c>
      <c r="G698" s="19">
        <f>[1]TOBEPAID!G534/1000</f>
        <v>0</v>
      </c>
      <c r="H698" s="19">
        <f>2957018/1000</f>
        <v>2957.018</v>
      </c>
      <c r="I698" s="19">
        <f>[1]TOBEPAID!I534/1000</f>
        <v>0</v>
      </c>
      <c r="J698" s="19">
        <f>[1]TOBEPAID!J534/1000</f>
        <v>0</v>
      </c>
      <c r="K698" s="19">
        <f>[1]TOBEPAID!K534/1000</f>
        <v>0</v>
      </c>
      <c r="L698" s="19">
        <f>[1]TOBEPAID!L534/1000</f>
        <v>0</v>
      </c>
      <c r="M698" s="19">
        <f>[1]TOBEPAID!M534/1000</f>
        <v>0</v>
      </c>
      <c r="N698" s="19">
        <f>[1]TOBEPAID!N534/1000</f>
        <v>2957.0187299999998</v>
      </c>
      <c r="O698" s="19">
        <f>[1]TOBEPAID!O534/1000</f>
        <v>0</v>
      </c>
      <c r="P698" s="19">
        <f>[1]TOBEPAID!P534/1000</f>
        <v>0</v>
      </c>
      <c r="Q698" s="19">
        <f>[1]TOBEPAID!Q534/1000</f>
        <v>0</v>
      </c>
      <c r="R698" s="19">
        <v>0</v>
      </c>
      <c r="S698" s="19">
        <f>[1]TOBEPAID!S534/1000</f>
        <v>0</v>
      </c>
      <c r="T698" s="19">
        <f>[1]TOBEPAID!T534/1000</f>
        <v>0</v>
      </c>
      <c r="U698" s="19">
        <f>[1]TOBEPAID!U534/1000</f>
        <v>0</v>
      </c>
      <c r="V698" s="19">
        <f>[1]TOBEPAID!V534/1000</f>
        <v>0</v>
      </c>
      <c r="W698" s="19">
        <f>[1]TOBEPAID!W534/1000</f>
        <v>0</v>
      </c>
      <c r="X698" s="19">
        <f>[1]TOBEPAID!X534/1000</f>
        <v>0</v>
      </c>
      <c r="Y698" s="19">
        <f>+H698+R698</f>
        <v>2957.018</v>
      </c>
      <c r="Z698" s="19">
        <f>+D698-Y698</f>
        <v>0</v>
      </c>
      <c r="AA698" s="19">
        <f>[1]TOBEPAID!AA534/1000</f>
        <v>2957.0187299999998</v>
      </c>
      <c r="AB698" s="19">
        <f>[1]TOBEPAID!AB534/1000</f>
        <v>0</v>
      </c>
      <c r="AC698" s="19"/>
      <c r="AD698" s="19"/>
    </row>
    <row r="699" spans="1:30" x14ac:dyDescent="0.2">
      <c r="C699" s="3" t="s">
        <v>100</v>
      </c>
      <c r="D699" s="19">
        <f>2454776/1000</f>
        <v>2454.7759999999998</v>
      </c>
      <c r="E699" s="19">
        <f>[1]TOBEPAID!E535/1000</f>
        <v>2454.7760830000002</v>
      </c>
      <c r="F699" s="19">
        <f>[1]TOBEPAID!F535/1000</f>
        <v>0</v>
      </c>
      <c r="G699" s="19">
        <f>[1]TOBEPAID!G535/1000</f>
        <v>0</v>
      </c>
      <c r="H699" s="19">
        <f>2454776/1000</f>
        <v>2454.7759999999998</v>
      </c>
      <c r="I699" s="19">
        <f>[1]TOBEPAID!I535/1000</f>
        <v>0</v>
      </c>
      <c r="J699" s="19">
        <f>[1]TOBEPAID!J535/1000</f>
        <v>0</v>
      </c>
      <c r="K699" s="19">
        <f>[1]TOBEPAID!K535/1000</f>
        <v>0</v>
      </c>
      <c r="L699" s="19">
        <f>[1]TOBEPAID!L535/1000</f>
        <v>0</v>
      </c>
      <c r="M699" s="19">
        <f>[1]TOBEPAID!M535/1000</f>
        <v>0</v>
      </c>
      <c r="N699" s="19">
        <f>[1]TOBEPAID!N535/1000</f>
        <v>2454.7760830000002</v>
      </c>
      <c r="O699" s="19">
        <f>[1]TOBEPAID!O535/1000</f>
        <v>0</v>
      </c>
      <c r="P699" s="19">
        <f>[1]TOBEPAID!P535/1000</f>
        <v>0</v>
      </c>
      <c r="Q699" s="19">
        <f>[1]TOBEPAID!Q535/1000</f>
        <v>0</v>
      </c>
      <c r="R699" s="19">
        <v>0</v>
      </c>
      <c r="S699" s="19">
        <f>[1]TOBEPAID!S535/1000</f>
        <v>0</v>
      </c>
      <c r="T699" s="19">
        <f>[1]TOBEPAID!T535/1000</f>
        <v>0</v>
      </c>
      <c r="U699" s="19">
        <f>[1]TOBEPAID!U535/1000</f>
        <v>0</v>
      </c>
      <c r="V699" s="19">
        <f>[1]TOBEPAID!V535/1000</f>
        <v>0</v>
      </c>
      <c r="W699" s="19">
        <f>[1]TOBEPAID!W535/1000</f>
        <v>0</v>
      </c>
      <c r="X699" s="19">
        <f>[1]TOBEPAID!X535/1000</f>
        <v>0</v>
      </c>
      <c r="Y699" s="19">
        <f>+H699+R699</f>
        <v>2454.7759999999998</v>
      </c>
      <c r="Z699" s="19">
        <f>+D699-Y699</f>
        <v>0</v>
      </c>
      <c r="AA699" s="19">
        <f>[1]TOBEPAID!AA535/1000</f>
        <v>2454.7760830000002</v>
      </c>
      <c r="AB699" s="19">
        <f>[1]TOBEPAID!AB535/1000</f>
        <v>-3.0000000260770321E-6</v>
      </c>
      <c r="AC699" s="19"/>
      <c r="AD699" s="19"/>
    </row>
    <row r="700" spans="1:30" x14ac:dyDescent="0.2">
      <c r="A700" s="18"/>
      <c r="C700" s="17" t="s">
        <v>96</v>
      </c>
      <c r="D700" s="19">
        <f>45046586/1000</f>
        <v>45046.586000000003</v>
      </c>
      <c r="E700" s="19">
        <f>[1]TOBEPAID!E536/1000</f>
        <v>0</v>
      </c>
      <c r="F700" s="19">
        <f>[1]TOBEPAID!F536/1000</f>
        <v>0</v>
      </c>
      <c r="G700" s="19">
        <f>[1]TOBEPAID!G536/1000</f>
        <v>0</v>
      </c>
      <c r="H700" s="19">
        <v>0</v>
      </c>
      <c r="I700" s="19">
        <f>[1]TOBEPAID!I536/1000</f>
        <v>0</v>
      </c>
      <c r="J700" s="19">
        <f>[1]TOBEPAID!J536/1000</f>
        <v>0</v>
      </c>
      <c r="K700" s="19">
        <f>[1]TOBEPAID!K536/1000</f>
        <v>0</v>
      </c>
      <c r="L700" s="19">
        <f>[1]TOBEPAID!L536/1000</f>
        <v>0</v>
      </c>
      <c r="M700" s="19">
        <f>[1]TOBEPAID!M536/1000</f>
        <v>0</v>
      </c>
      <c r="N700" s="19">
        <f>[1]TOBEPAID!N536/1000</f>
        <v>0</v>
      </c>
      <c r="O700" s="19">
        <f>[1]TOBEPAID!O536/1000</f>
        <v>7011.4226899999994</v>
      </c>
      <c r="P700" s="19">
        <f>[1]TOBEPAID!P536/1000</f>
        <v>0</v>
      </c>
      <c r="Q700" s="19">
        <f>[1]TOBEPAID!Q536/1000</f>
        <v>0</v>
      </c>
      <c r="R700" s="19">
        <f>7011422/1000</f>
        <v>7011.4219999999996</v>
      </c>
      <c r="S700" s="19">
        <f>[1]TOBEPAID!S536/1000</f>
        <v>0</v>
      </c>
      <c r="T700" s="19">
        <f>[1]TOBEPAID!T536/1000</f>
        <v>0</v>
      </c>
      <c r="U700" s="19">
        <f>[1]TOBEPAID!U536/1000</f>
        <v>0</v>
      </c>
      <c r="V700" s="19">
        <f>[1]TOBEPAID!V536/1000</f>
        <v>0</v>
      </c>
      <c r="W700" s="19">
        <f>[1]TOBEPAID!W536/1000</f>
        <v>0</v>
      </c>
      <c r="X700" s="19">
        <f>[1]TOBEPAID!X536/1000</f>
        <v>7011.4226899999994</v>
      </c>
      <c r="Y700" s="19">
        <f>+H700+R700</f>
        <v>7011.4219999999996</v>
      </c>
      <c r="Z700" s="19">
        <f>+D700-Y700</f>
        <v>38035.164000000004</v>
      </c>
      <c r="AA700" s="19">
        <f>[1]TOBEPAID!AA536/1000</f>
        <v>7011.4226899999994</v>
      </c>
      <c r="AB700" s="19">
        <f>[1]TOBEPAID!AB536/1000</f>
        <v>38035.164150000004</v>
      </c>
      <c r="AC700" s="19"/>
      <c r="AD700" s="19"/>
    </row>
    <row r="701" spans="1:30" x14ac:dyDescent="0.2">
      <c r="A701" s="18"/>
      <c r="C701" s="17" t="s">
        <v>97</v>
      </c>
      <c r="D701" s="19">
        <f>16304159/1000</f>
        <v>16304.159</v>
      </c>
      <c r="E701" s="19">
        <f>[1]TOBEPAID!E537/1000</f>
        <v>0</v>
      </c>
      <c r="F701" s="19">
        <f>[1]TOBEPAID!F537/1000</f>
        <v>0</v>
      </c>
      <c r="G701" s="19">
        <f>[1]TOBEPAID!G537/1000</f>
        <v>0</v>
      </c>
      <c r="H701" s="19">
        <v>0</v>
      </c>
      <c r="I701" s="19">
        <f>[1]TOBEPAID!I537/1000</f>
        <v>0</v>
      </c>
      <c r="J701" s="19">
        <f>[1]TOBEPAID!J537/1000</f>
        <v>0</v>
      </c>
      <c r="K701" s="19">
        <f>[1]TOBEPAID!K537/1000</f>
        <v>0</v>
      </c>
      <c r="L701" s="19">
        <f>[1]TOBEPAID!L537/1000</f>
        <v>0</v>
      </c>
      <c r="M701" s="19">
        <f>[1]TOBEPAID!M537/1000</f>
        <v>0</v>
      </c>
      <c r="N701" s="19">
        <f>[1]TOBEPAID!N537/1000</f>
        <v>0</v>
      </c>
      <c r="O701" s="19">
        <f>[1]TOBEPAID!O537/1000</f>
        <v>16304.15929</v>
      </c>
      <c r="P701" s="19">
        <f>[1]TOBEPAID!P537/1000</f>
        <v>0</v>
      </c>
      <c r="Q701" s="19">
        <f>[1]TOBEPAID!Q537/1000</f>
        <v>0</v>
      </c>
      <c r="R701" s="19">
        <f>16304159/1000</f>
        <v>16304.159</v>
      </c>
      <c r="S701" s="19">
        <f>[1]TOBEPAID!S537/1000</f>
        <v>0</v>
      </c>
      <c r="T701" s="19">
        <f>[1]TOBEPAID!T537/1000</f>
        <v>0</v>
      </c>
      <c r="U701" s="19">
        <f>[1]TOBEPAID!U537/1000</f>
        <v>0</v>
      </c>
      <c r="V701" s="19">
        <f>[1]TOBEPAID!V537/1000</f>
        <v>0</v>
      </c>
      <c r="W701" s="19">
        <f>[1]TOBEPAID!W537/1000</f>
        <v>0</v>
      </c>
      <c r="X701" s="19">
        <f>[1]TOBEPAID!X537/1000</f>
        <v>16304.15929</v>
      </c>
      <c r="Y701" s="19">
        <f>+H701+R701</f>
        <v>16304.159</v>
      </c>
      <c r="Z701" s="19">
        <f>+D701-Y701</f>
        <v>0</v>
      </c>
      <c r="AA701" s="19">
        <f>[1]TOBEPAID!AA537/1000</f>
        <v>16304.15929</v>
      </c>
      <c r="AB701" s="19">
        <f>[1]TOBEPAID!AB537/1000</f>
        <v>0</v>
      </c>
      <c r="AC701" s="19"/>
      <c r="AD701" s="19"/>
    </row>
    <row r="702" spans="1:30" x14ac:dyDescent="0.2">
      <c r="A702" s="18"/>
      <c r="D702" s="21" t="s">
        <v>57</v>
      </c>
      <c r="E702" s="21" t="s">
        <v>57</v>
      </c>
      <c r="F702" s="21" t="s">
        <v>57</v>
      </c>
      <c r="G702" s="21"/>
      <c r="H702" s="21" t="s">
        <v>57</v>
      </c>
      <c r="I702" s="21" t="s">
        <v>57</v>
      </c>
      <c r="J702" s="21" t="s">
        <v>57</v>
      </c>
      <c r="K702" s="21" t="s">
        <v>57</v>
      </c>
      <c r="L702" s="21" t="s">
        <v>57</v>
      </c>
      <c r="M702" s="21"/>
      <c r="N702" s="21" t="s">
        <v>57</v>
      </c>
      <c r="O702" s="21" t="s">
        <v>57</v>
      </c>
      <c r="P702" s="21" t="s">
        <v>57</v>
      </c>
      <c r="Q702" s="21"/>
      <c r="R702" s="21" t="s">
        <v>57</v>
      </c>
      <c r="S702" s="21" t="s">
        <v>57</v>
      </c>
      <c r="T702" s="21" t="s">
        <v>57</v>
      </c>
      <c r="U702" s="21" t="s">
        <v>57</v>
      </c>
      <c r="V702" s="21" t="s">
        <v>57</v>
      </c>
      <c r="W702" s="21"/>
      <c r="X702" s="21" t="s">
        <v>57</v>
      </c>
      <c r="Y702" s="21" t="s">
        <v>57</v>
      </c>
      <c r="Z702" s="21" t="s">
        <v>57</v>
      </c>
      <c r="AA702" s="21" t="s">
        <v>57</v>
      </c>
      <c r="AB702" s="21" t="s">
        <v>57</v>
      </c>
      <c r="AC702" s="21"/>
      <c r="AD702" s="21"/>
    </row>
    <row r="703" spans="1:30" x14ac:dyDescent="0.2">
      <c r="A703" s="18"/>
      <c r="D703" s="19">
        <f>SUM(D697:D701)</f>
        <v>103730.46015000001</v>
      </c>
      <c r="E703" s="19">
        <f>SUM(E697:E701)</f>
        <v>5411.7948130000004</v>
      </c>
      <c r="F703" s="19">
        <f>SUM(F697:F701)</f>
        <v>0</v>
      </c>
      <c r="G703" s="19"/>
      <c r="H703" s="19">
        <f>SUM(H697:H701)</f>
        <v>25931.904999999999</v>
      </c>
      <c r="I703" s="19">
        <f>SUM(I697:I701)</f>
        <v>0</v>
      </c>
      <c r="J703" s="19">
        <f>SUM(J697:J701)</f>
        <v>0</v>
      </c>
      <c r="K703" s="19">
        <f>SUM(K697:K701)</f>
        <v>0</v>
      </c>
      <c r="L703" s="19">
        <f>SUM(L697:L701)</f>
        <v>0</v>
      </c>
      <c r="M703" s="19"/>
      <c r="N703" s="19">
        <f>SUM(N697:N701)</f>
        <v>5411.7948130000004</v>
      </c>
      <c r="O703" s="19">
        <f>SUM(O697:O701)</f>
        <v>25900.761569999999</v>
      </c>
      <c r="P703" s="19">
        <f>SUM(P697:P701)</f>
        <v>0</v>
      </c>
      <c r="Q703" s="19"/>
      <c r="R703" s="19">
        <f>SUM(R697:R701)</f>
        <v>25900.76</v>
      </c>
      <c r="S703" s="19">
        <f>SUM(S697:S701)</f>
        <v>0</v>
      </c>
      <c r="T703" s="19">
        <f>SUM(T697:T701)</f>
        <v>0</v>
      </c>
      <c r="U703" s="19">
        <f>SUM(U697:U701)</f>
        <v>0</v>
      </c>
      <c r="V703" s="19">
        <f>SUM(V697:V701)</f>
        <v>0</v>
      </c>
      <c r="W703" s="19"/>
      <c r="X703" s="19">
        <f>SUM(X697:X701)</f>
        <v>25900.761569999999</v>
      </c>
      <c r="Y703" s="19">
        <f>SUM(Y697:Y701)</f>
        <v>51832.665000000001</v>
      </c>
      <c r="Z703" s="19">
        <f>SUM(Z697:Z701)</f>
        <v>51897.795150000005</v>
      </c>
      <c r="AA703" s="19">
        <f>SUM(AA697:AA701)</f>
        <v>31312.556382999999</v>
      </c>
      <c r="AB703" s="19">
        <f>SUM(AB697:AB701)</f>
        <v>72417.905706999998</v>
      </c>
      <c r="AC703" s="19"/>
      <c r="AD703" s="19"/>
    </row>
    <row r="704" spans="1:30" x14ac:dyDescent="0.2">
      <c r="A704" s="18"/>
      <c r="B704" s="9"/>
      <c r="D704" s="21" t="s">
        <v>57</v>
      </c>
      <c r="E704" s="21" t="s">
        <v>57</v>
      </c>
      <c r="F704" s="21" t="s">
        <v>57</v>
      </c>
      <c r="G704" s="21"/>
      <c r="H704" s="21" t="s">
        <v>57</v>
      </c>
      <c r="I704" s="21" t="s">
        <v>57</v>
      </c>
      <c r="J704" s="21" t="s">
        <v>57</v>
      </c>
      <c r="K704" s="21" t="s">
        <v>57</v>
      </c>
      <c r="L704" s="21" t="s">
        <v>57</v>
      </c>
      <c r="M704" s="21"/>
      <c r="N704" s="21" t="s">
        <v>57</v>
      </c>
      <c r="O704" s="21" t="s">
        <v>57</v>
      </c>
      <c r="P704" s="21" t="s">
        <v>57</v>
      </c>
      <c r="Q704" s="21"/>
      <c r="R704" s="21" t="s">
        <v>57</v>
      </c>
      <c r="S704" s="21" t="s">
        <v>57</v>
      </c>
      <c r="T704" s="21" t="s">
        <v>57</v>
      </c>
      <c r="U704" s="21" t="s">
        <v>57</v>
      </c>
      <c r="V704" s="21" t="s">
        <v>57</v>
      </c>
      <c r="W704" s="21"/>
      <c r="X704" s="21" t="s">
        <v>57</v>
      </c>
      <c r="Y704" s="21" t="s">
        <v>57</v>
      </c>
      <c r="Z704" s="21" t="s">
        <v>57</v>
      </c>
      <c r="AA704" s="21" t="s">
        <v>57</v>
      </c>
      <c r="AB704" s="21" t="s">
        <v>57</v>
      </c>
      <c r="AC704" s="21"/>
      <c r="AD704" s="21"/>
    </row>
    <row r="705" spans="1:30" x14ac:dyDescent="0.2">
      <c r="A705" s="18"/>
      <c r="B705" s="9"/>
      <c r="D705" s="21"/>
      <c r="E705" s="21"/>
      <c r="F705" s="42"/>
      <c r="G705" s="27"/>
      <c r="H705" s="28"/>
      <c r="I705" s="28"/>
      <c r="J705" s="28"/>
      <c r="K705" s="38"/>
      <c r="L705" s="28"/>
      <c r="M705" s="27"/>
      <c r="N705" s="30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1:30" x14ac:dyDescent="0.2">
      <c r="A706" s="18">
        <v>52</v>
      </c>
      <c r="B706" s="17" t="s">
        <v>244</v>
      </c>
      <c r="C706" s="20" t="s">
        <v>51</v>
      </c>
      <c r="D706" s="19">
        <v>0</v>
      </c>
      <c r="E706" s="19">
        <f>[1]TOBEPAID!E542/1000</f>
        <v>0</v>
      </c>
      <c r="F706" s="19">
        <f>[1]TOBEPAID!F542/1000</f>
        <v>0</v>
      </c>
      <c r="G706" s="19">
        <f>[1]TOBEPAID!G542/1000</f>
        <v>0</v>
      </c>
      <c r="H706" s="19">
        <v>0</v>
      </c>
      <c r="I706" s="19">
        <f>[1]TOBEPAID!I542/1000</f>
        <v>0</v>
      </c>
      <c r="J706" s="19">
        <f>[1]TOBEPAID!J542/1000</f>
        <v>0</v>
      </c>
      <c r="K706" s="19">
        <f>[1]TOBEPAID!K542/1000</f>
        <v>0</v>
      </c>
      <c r="L706" s="19">
        <f>[1]TOBEPAID!L542/1000</f>
        <v>0</v>
      </c>
      <c r="M706" s="19">
        <f>[1]TOBEPAID!M542/1000</f>
        <v>0</v>
      </c>
      <c r="N706" s="19">
        <f>[1]TOBEPAID!N542/1000</f>
        <v>0</v>
      </c>
      <c r="O706" s="19">
        <f>[1]TOBEPAID!O542/1000</f>
        <v>0</v>
      </c>
      <c r="P706" s="19">
        <f>[1]TOBEPAID!P542/1000</f>
        <v>0</v>
      </c>
      <c r="Q706" s="19">
        <f>[1]TOBEPAID!Q542/1000</f>
        <v>0</v>
      </c>
      <c r="R706" s="19">
        <v>0</v>
      </c>
      <c r="S706" s="19">
        <f>[1]TOBEPAID!S542/1000</f>
        <v>0</v>
      </c>
      <c r="T706" s="19">
        <f>[1]TOBEPAID!T542/1000</f>
        <v>0</v>
      </c>
      <c r="U706" s="19">
        <f>[1]TOBEPAID!U542/1000</f>
        <v>0</v>
      </c>
      <c r="V706" s="19">
        <f>[1]TOBEPAID!V542/1000</f>
        <v>0</v>
      </c>
      <c r="W706" s="19">
        <f>[1]TOBEPAID!W542/1000</f>
        <v>0</v>
      </c>
      <c r="X706" s="19">
        <f>[1]TOBEPAID!X542/1000</f>
        <v>0</v>
      </c>
      <c r="Y706" s="19">
        <f t="shared" ref="Y706:Y713" si="125">+H706+R706</f>
        <v>0</v>
      </c>
      <c r="Z706" s="19">
        <f t="shared" ref="Z706:Z713" si="126">+D706-Y706</f>
        <v>0</v>
      </c>
      <c r="AA706" s="19">
        <f>[1]TOBEPAID!AA542/1000</f>
        <v>0</v>
      </c>
      <c r="AB706" s="19">
        <f>[1]TOBEPAID!AB542/1000</f>
        <v>0</v>
      </c>
      <c r="AC706" s="19"/>
      <c r="AD706" s="19"/>
    </row>
    <row r="707" spans="1:30" x14ac:dyDescent="0.2">
      <c r="A707" s="18"/>
      <c r="C707" s="20" t="s">
        <v>52</v>
      </c>
      <c r="D707" s="19">
        <f>511867/1000</f>
        <v>511.86700000000002</v>
      </c>
      <c r="E707" s="19">
        <f>[1]TOBEPAID!E543/1000</f>
        <v>511.86700000000002</v>
      </c>
      <c r="F707" s="19">
        <f>[1]TOBEPAID!F543/1000</f>
        <v>0</v>
      </c>
      <c r="G707" s="19">
        <f>[1]TOBEPAID!G543/1000</f>
        <v>0</v>
      </c>
      <c r="H707" s="19">
        <f>511867/1000</f>
        <v>511.86700000000002</v>
      </c>
      <c r="I707" s="19">
        <f>[1]TOBEPAID!I543/1000</f>
        <v>0</v>
      </c>
      <c r="J707" s="19">
        <f>[1]TOBEPAID!J543/1000</f>
        <v>0</v>
      </c>
      <c r="K707" s="19">
        <f>[1]TOBEPAID!K543/1000</f>
        <v>0</v>
      </c>
      <c r="L707" s="19">
        <f>[1]TOBEPAID!L543/1000</f>
        <v>0</v>
      </c>
      <c r="M707" s="19">
        <f>[1]TOBEPAID!M543/1000</f>
        <v>0</v>
      </c>
      <c r="N707" s="19">
        <f>[1]TOBEPAID!N543/1000</f>
        <v>511.86700000000002</v>
      </c>
      <c r="O707" s="19">
        <f>[1]TOBEPAID!O543/1000</f>
        <v>0</v>
      </c>
      <c r="P707" s="19">
        <f>[1]TOBEPAID!P543/1000</f>
        <v>0</v>
      </c>
      <c r="Q707" s="19">
        <f>[1]TOBEPAID!Q543/1000</f>
        <v>0</v>
      </c>
      <c r="R707" s="19">
        <v>0</v>
      </c>
      <c r="S707" s="19">
        <f>[1]TOBEPAID!S543/1000</f>
        <v>0</v>
      </c>
      <c r="T707" s="19">
        <f>[1]TOBEPAID!T543/1000</f>
        <v>0</v>
      </c>
      <c r="U707" s="19">
        <f>[1]TOBEPAID!U543/1000</f>
        <v>0</v>
      </c>
      <c r="V707" s="19">
        <f>[1]TOBEPAID!V543/1000</f>
        <v>0</v>
      </c>
      <c r="W707" s="19">
        <f>[1]TOBEPAID!W543/1000</f>
        <v>0</v>
      </c>
      <c r="X707" s="19">
        <f>[1]TOBEPAID!X543/1000</f>
        <v>0</v>
      </c>
      <c r="Y707" s="19">
        <f t="shared" si="125"/>
        <v>511.86700000000002</v>
      </c>
      <c r="Z707" s="19">
        <f t="shared" si="126"/>
        <v>0</v>
      </c>
      <c r="AA707" s="19">
        <f>[1]TOBEPAID!AA543/1000</f>
        <v>511.86700000000002</v>
      </c>
      <c r="AB707" s="19">
        <f>[1]TOBEPAID!AB543/1000</f>
        <v>0</v>
      </c>
      <c r="AC707" s="19"/>
      <c r="AD707" s="19"/>
    </row>
    <row r="708" spans="1:30" x14ac:dyDescent="0.2">
      <c r="A708" s="18"/>
      <c r="C708" s="17" t="s">
        <v>96</v>
      </c>
      <c r="D708" s="19">
        <f>5188692.59/1000</f>
        <v>5188.6925899999997</v>
      </c>
      <c r="E708" s="19">
        <f>[1]TOBEPAID!E544/1000</f>
        <v>0</v>
      </c>
      <c r="F708" s="19">
        <f>[1]TOBEPAID!F544/1000</f>
        <v>0</v>
      </c>
      <c r="G708" s="19">
        <f>[1]TOBEPAID!G544/1000</f>
        <v>0</v>
      </c>
      <c r="H708" s="19">
        <v>0</v>
      </c>
      <c r="I708" s="19">
        <f>[1]TOBEPAID!I544/1000</f>
        <v>0</v>
      </c>
      <c r="J708" s="19">
        <f>[1]TOBEPAID!J544/1000</f>
        <v>0</v>
      </c>
      <c r="K708" s="19">
        <f>[1]TOBEPAID!K544/1000</f>
        <v>0</v>
      </c>
      <c r="L708" s="19">
        <f>[1]TOBEPAID!L544/1000</f>
        <v>0</v>
      </c>
      <c r="M708" s="19">
        <f>[1]TOBEPAID!M544/1000</f>
        <v>0</v>
      </c>
      <c r="N708" s="19">
        <f>[1]TOBEPAID!N544/1000</f>
        <v>0</v>
      </c>
      <c r="O708" s="19">
        <f>[1]TOBEPAID!O544/1000</f>
        <v>5188.6925899999997</v>
      </c>
      <c r="P708" s="19">
        <f>[1]TOBEPAID!P544/1000</f>
        <v>0</v>
      </c>
      <c r="Q708" s="19">
        <f>[1]TOBEPAID!Q544/1000</f>
        <v>0</v>
      </c>
      <c r="R708" s="19">
        <f>5139930.58/1000</f>
        <v>5139.9305800000002</v>
      </c>
      <c r="S708" s="19">
        <f>[1]TOBEPAID!S544/1000</f>
        <v>0</v>
      </c>
      <c r="T708" s="19">
        <f>[1]TOBEPAID!T544/1000</f>
        <v>0</v>
      </c>
      <c r="U708" s="19">
        <f>[1]TOBEPAID!U544/1000</f>
        <v>0</v>
      </c>
      <c r="V708" s="19">
        <f>[1]TOBEPAID!V544/1000</f>
        <v>0</v>
      </c>
      <c r="W708" s="19">
        <f>[1]TOBEPAID!W544/1000</f>
        <v>0</v>
      </c>
      <c r="X708" s="19">
        <f>[1]TOBEPAID!X544/1000</f>
        <v>5188.6925899999997</v>
      </c>
      <c r="Y708" s="19">
        <f t="shared" si="125"/>
        <v>5139.9305800000002</v>
      </c>
      <c r="Z708" s="19">
        <f t="shared" si="126"/>
        <v>48.762009999999464</v>
      </c>
      <c r="AA708" s="19">
        <f>[1]TOBEPAID!AA544/1000</f>
        <v>5188.6925899999997</v>
      </c>
      <c r="AB708" s="19">
        <f>[1]TOBEPAID!AB544/1000</f>
        <v>0</v>
      </c>
      <c r="AC708" s="19"/>
      <c r="AD708" s="19"/>
    </row>
    <row r="709" spans="1:30" x14ac:dyDescent="0.2">
      <c r="A709" s="18"/>
      <c r="C709" s="17" t="s">
        <v>137</v>
      </c>
      <c r="D709" s="19">
        <f>27884698.52/1000</f>
        <v>27884.698519999998</v>
      </c>
      <c r="E709" s="19"/>
      <c r="F709" s="19"/>
      <c r="G709" s="19"/>
      <c r="H709" s="19">
        <f>24262698/1000</f>
        <v>24262.698</v>
      </c>
      <c r="I709" s="19"/>
      <c r="J709" s="19"/>
      <c r="K709" s="19"/>
      <c r="L709" s="19"/>
      <c r="M709" s="19"/>
      <c r="N709" s="19"/>
      <c r="O709" s="19"/>
      <c r="P709" s="19"/>
      <c r="Q709" s="19"/>
      <c r="R709" s="19">
        <v>0</v>
      </c>
      <c r="S709" s="19"/>
      <c r="T709" s="19"/>
      <c r="U709" s="19"/>
      <c r="V709" s="19"/>
      <c r="W709" s="19"/>
      <c r="X709" s="19"/>
      <c r="Y709" s="19">
        <f>+H709+R709</f>
        <v>24262.698</v>
      </c>
      <c r="Z709" s="19">
        <f t="shared" si="126"/>
        <v>3622.0005199999978</v>
      </c>
      <c r="AA709" s="19"/>
      <c r="AB709" s="19"/>
      <c r="AC709" s="19"/>
      <c r="AD709" s="19"/>
    </row>
    <row r="710" spans="1:30" x14ac:dyDescent="0.2">
      <c r="A710" s="18"/>
      <c r="C710" s="17" t="s">
        <v>128</v>
      </c>
      <c r="D710" s="19">
        <f>150000000/1000</f>
        <v>150000</v>
      </c>
      <c r="E710" s="19"/>
      <c r="F710" s="19"/>
      <c r="G710" s="19"/>
      <c r="H710" s="19">
        <f>150000000/1000</f>
        <v>150000</v>
      </c>
      <c r="I710" s="19"/>
      <c r="J710" s="19"/>
      <c r="K710" s="19"/>
      <c r="L710" s="19"/>
      <c r="M710" s="19"/>
      <c r="N710" s="19"/>
      <c r="O710" s="19"/>
      <c r="P710" s="19"/>
      <c r="Q710" s="19"/>
      <c r="R710" s="19">
        <v>0</v>
      </c>
      <c r="S710" s="19"/>
      <c r="T710" s="19"/>
      <c r="U710" s="19"/>
      <c r="V710" s="19"/>
      <c r="W710" s="19"/>
      <c r="X710" s="19"/>
      <c r="Y710" s="19">
        <f>+H710+R710</f>
        <v>150000</v>
      </c>
      <c r="Z710" s="19">
        <f t="shared" si="126"/>
        <v>0</v>
      </c>
      <c r="AA710" s="19"/>
      <c r="AB710" s="19"/>
      <c r="AC710" s="19"/>
      <c r="AD710" s="19"/>
    </row>
    <row r="711" spans="1:30" x14ac:dyDescent="0.2">
      <c r="A711" s="18"/>
      <c r="C711" s="3" t="s">
        <v>79</v>
      </c>
      <c r="D711" s="19">
        <f>1750269.42/1000</f>
        <v>1750.2694199999999</v>
      </c>
      <c r="E711" s="19"/>
      <c r="F711" s="19"/>
      <c r="G711" s="19"/>
      <c r="H711" s="19">
        <f>1750269.42/1000</f>
        <v>1750.2694199999999</v>
      </c>
      <c r="I711" s="19"/>
      <c r="J711" s="19"/>
      <c r="K711" s="19"/>
      <c r="L711" s="19"/>
      <c r="M711" s="19"/>
      <c r="N711" s="19"/>
      <c r="O711" s="19"/>
      <c r="P711" s="19"/>
      <c r="Q711" s="19"/>
      <c r="R711" s="19">
        <v>0</v>
      </c>
      <c r="S711" s="19"/>
      <c r="T711" s="19"/>
      <c r="U711" s="19"/>
      <c r="V711" s="19"/>
      <c r="W711" s="19"/>
      <c r="X711" s="19"/>
      <c r="Y711" s="19">
        <f t="shared" si="125"/>
        <v>1750.2694199999999</v>
      </c>
      <c r="Z711" s="19">
        <f t="shared" si="126"/>
        <v>0</v>
      </c>
      <c r="AA711" s="19"/>
      <c r="AB711" s="19"/>
      <c r="AC711" s="19"/>
      <c r="AD711" s="19"/>
    </row>
    <row r="712" spans="1:30" x14ac:dyDescent="0.2">
      <c r="A712" s="18"/>
      <c r="C712" s="17" t="s">
        <v>55</v>
      </c>
      <c r="D712" s="19">
        <f>2456018/1000</f>
        <v>2456.018</v>
      </c>
      <c r="E712" s="19">
        <f>[1]TOBEPAID!E545/1000</f>
        <v>0</v>
      </c>
      <c r="F712" s="19">
        <f>[1]TOBEPAID!F545/1000</f>
        <v>0</v>
      </c>
      <c r="G712" s="19">
        <f>[1]TOBEPAID!G545/1000</f>
        <v>0</v>
      </c>
      <c r="H712" s="19">
        <v>0</v>
      </c>
      <c r="I712" s="19">
        <f>[1]TOBEPAID!I545/1000</f>
        <v>0</v>
      </c>
      <c r="J712" s="19">
        <f>[1]TOBEPAID!J545/1000</f>
        <v>0</v>
      </c>
      <c r="K712" s="19">
        <f>[1]TOBEPAID!K545/1000</f>
        <v>0</v>
      </c>
      <c r="L712" s="19">
        <f>[1]TOBEPAID!L545/1000</f>
        <v>0</v>
      </c>
      <c r="M712" s="19">
        <f>[1]TOBEPAID!M545/1000</f>
        <v>0</v>
      </c>
      <c r="N712" s="19">
        <f>[1]TOBEPAID!N545/1000</f>
        <v>0</v>
      </c>
      <c r="O712" s="19">
        <f>[1]TOBEPAID!O545/1000</f>
        <v>0</v>
      </c>
      <c r="P712" s="19">
        <f>[1]TOBEPAID!P545/1000</f>
        <v>0</v>
      </c>
      <c r="Q712" s="19">
        <f>[1]TOBEPAID!Q545/1000</f>
        <v>0</v>
      </c>
      <c r="R712" s="19">
        <v>0</v>
      </c>
      <c r="S712" s="19">
        <f>[1]TOBEPAID!S545/1000</f>
        <v>0</v>
      </c>
      <c r="T712" s="19">
        <f>[1]TOBEPAID!T545/1000</f>
        <v>0</v>
      </c>
      <c r="U712" s="19">
        <f>[1]TOBEPAID!U545/1000</f>
        <v>0</v>
      </c>
      <c r="V712" s="19">
        <f>[1]TOBEPAID!V545/1000</f>
        <v>0</v>
      </c>
      <c r="W712" s="19">
        <f>[1]TOBEPAID!W545/1000</f>
        <v>0</v>
      </c>
      <c r="X712" s="19">
        <f>[1]TOBEPAID!X545/1000</f>
        <v>0</v>
      </c>
      <c r="Y712" s="19">
        <f t="shared" si="125"/>
        <v>0</v>
      </c>
      <c r="Z712" s="19">
        <f t="shared" si="126"/>
        <v>2456.018</v>
      </c>
      <c r="AA712" s="19">
        <f>[1]TOBEPAID!AA545/1000</f>
        <v>0</v>
      </c>
      <c r="AB712" s="19">
        <f>[1]TOBEPAID!AB545/1000</f>
        <v>2456.018</v>
      </c>
      <c r="AC712" s="19"/>
      <c r="AD712" s="19"/>
    </row>
    <row r="713" spans="1:30" x14ac:dyDescent="0.2">
      <c r="A713" s="18"/>
      <c r="C713" s="17" t="s">
        <v>97</v>
      </c>
      <c r="D713" s="19">
        <f>[1]TOBEPAID!D546/1000</f>
        <v>10700.09223</v>
      </c>
      <c r="E713" s="19">
        <f>[1]TOBEPAID!E546/1000</f>
        <v>0</v>
      </c>
      <c r="F713" s="19">
        <f>[1]TOBEPAID!F546/1000</f>
        <v>0</v>
      </c>
      <c r="G713" s="19">
        <f>[1]TOBEPAID!G546/1000</f>
        <v>0</v>
      </c>
      <c r="H713" s="19">
        <v>0</v>
      </c>
      <c r="I713" s="19">
        <f>[1]TOBEPAID!I546/1000</f>
        <v>0</v>
      </c>
      <c r="J713" s="19">
        <f>[1]TOBEPAID!J546/1000</f>
        <v>0</v>
      </c>
      <c r="K713" s="19">
        <f>[1]TOBEPAID!K546/1000</f>
        <v>0</v>
      </c>
      <c r="L713" s="19">
        <f>[1]TOBEPAID!L546/1000</f>
        <v>0</v>
      </c>
      <c r="M713" s="19">
        <f>[1]TOBEPAID!M546/1000</f>
        <v>0</v>
      </c>
      <c r="N713" s="19">
        <f>[1]TOBEPAID!N546/1000</f>
        <v>0</v>
      </c>
      <c r="O713" s="19">
        <f>[1]TOBEPAID!O546/1000</f>
        <v>10700.092229999998</v>
      </c>
      <c r="P713" s="19">
        <f>[1]TOBEPAID!P546/1000</f>
        <v>0</v>
      </c>
      <c r="Q713" s="19">
        <f>[1]TOBEPAID!Q546/1000</f>
        <v>0</v>
      </c>
      <c r="R713" s="19">
        <f>10700092.23/1000</f>
        <v>10700.09223</v>
      </c>
      <c r="S713" s="19">
        <f>[1]TOBEPAID!S546/1000</f>
        <v>0</v>
      </c>
      <c r="T713" s="19">
        <f>[1]TOBEPAID!T546/1000</f>
        <v>0</v>
      </c>
      <c r="U713" s="19">
        <f>[1]TOBEPAID!U546/1000</f>
        <v>0</v>
      </c>
      <c r="V713" s="19">
        <f>[1]TOBEPAID!V546/1000</f>
        <v>0</v>
      </c>
      <c r="W713" s="19">
        <f>[1]TOBEPAID!W546/1000</f>
        <v>0</v>
      </c>
      <c r="X713" s="19">
        <f>[1]TOBEPAID!X546/1000</f>
        <v>10700.092229999998</v>
      </c>
      <c r="Y713" s="19">
        <f t="shared" si="125"/>
        <v>10700.09223</v>
      </c>
      <c r="Z713" s="19">
        <f t="shared" si="126"/>
        <v>0</v>
      </c>
      <c r="AA713" s="19">
        <f>[1]TOBEPAID!AA546/1000</f>
        <v>10700.092229999998</v>
      </c>
      <c r="AB713" s="19">
        <f>[1]TOBEPAID!AB546/1000</f>
        <v>0</v>
      </c>
      <c r="AC713" s="19"/>
      <c r="AD713" s="19"/>
    </row>
    <row r="714" spans="1:30" x14ac:dyDescent="0.2">
      <c r="A714" s="18"/>
      <c r="D714" s="21" t="s">
        <v>57</v>
      </c>
      <c r="E714" s="21" t="s">
        <v>57</v>
      </c>
      <c r="F714" s="21" t="s">
        <v>57</v>
      </c>
      <c r="G714" s="21"/>
      <c r="H714" s="21" t="s">
        <v>57</v>
      </c>
      <c r="I714" s="21" t="s">
        <v>57</v>
      </c>
      <c r="J714" s="21" t="s">
        <v>57</v>
      </c>
      <c r="K714" s="21" t="s">
        <v>57</v>
      </c>
      <c r="L714" s="21" t="s">
        <v>57</v>
      </c>
      <c r="M714" s="21"/>
      <c r="N714" s="21" t="s">
        <v>57</v>
      </c>
      <c r="O714" s="21" t="s">
        <v>57</v>
      </c>
      <c r="P714" s="21" t="s">
        <v>57</v>
      </c>
      <c r="Q714" s="21"/>
      <c r="R714" s="21" t="s">
        <v>57</v>
      </c>
      <c r="S714" s="21" t="s">
        <v>57</v>
      </c>
      <c r="T714" s="21" t="s">
        <v>57</v>
      </c>
      <c r="U714" s="21" t="s">
        <v>57</v>
      </c>
      <c r="V714" s="21" t="s">
        <v>57</v>
      </c>
      <c r="W714" s="21"/>
      <c r="X714" s="21" t="s">
        <v>57</v>
      </c>
      <c r="Y714" s="21" t="s">
        <v>57</v>
      </c>
      <c r="Z714" s="21" t="s">
        <v>57</v>
      </c>
      <c r="AA714" s="21" t="s">
        <v>57</v>
      </c>
      <c r="AB714" s="21" t="s">
        <v>57</v>
      </c>
      <c r="AC714" s="21"/>
      <c r="AD714" s="21"/>
    </row>
    <row r="715" spans="1:30" x14ac:dyDescent="0.2">
      <c r="A715" s="18"/>
      <c r="D715" s="19">
        <f>SUM(D706:D713)</f>
        <v>198491.63776000001</v>
      </c>
      <c r="E715" s="19">
        <f>SUM(E706:E713)</f>
        <v>511.86700000000002</v>
      </c>
      <c r="F715" s="19">
        <f>SUM(F706:F713)</f>
        <v>0</v>
      </c>
      <c r="G715" s="19"/>
      <c r="H715" s="19">
        <f>SUM(H706:H713)</f>
        <v>176524.83442</v>
      </c>
      <c r="I715" s="19">
        <f>SUM(I706:I713)</f>
        <v>0</v>
      </c>
      <c r="J715" s="19">
        <f>SUM(J706:J713)</f>
        <v>0</v>
      </c>
      <c r="K715" s="19">
        <f>SUM(K706:K713)</f>
        <v>0</v>
      </c>
      <c r="L715" s="19">
        <f>SUM(L706:L713)</f>
        <v>0</v>
      </c>
      <c r="M715" s="19"/>
      <c r="N715" s="19">
        <f>SUM(N706:N713)</f>
        <v>511.86700000000002</v>
      </c>
      <c r="O715" s="19">
        <f>SUM(O706:O713)</f>
        <v>15888.784819999997</v>
      </c>
      <c r="P715" s="19">
        <f>SUM(P706:P713)</f>
        <v>0</v>
      </c>
      <c r="Q715" s="19"/>
      <c r="R715" s="19">
        <f>SUM(R706:R713)</f>
        <v>15840.02281</v>
      </c>
      <c r="S715" s="19">
        <f>SUM(S706:S713)</f>
        <v>0</v>
      </c>
      <c r="T715" s="19">
        <f>SUM(T706:T713)</f>
        <v>0</v>
      </c>
      <c r="U715" s="19">
        <f>SUM(U706:U713)</f>
        <v>0</v>
      </c>
      <c r="V715" s="19">
        <f>SUM(V706:V713)</f>
        <v>0</v>
      </c>
      <c r="W715" s="19"/>
      <c r="X715" s="19">
        <f>SUM(X706:X713)</f>
        <v>15888.784819999997</v>
      </c>
      <c r="Y715" s="19">
        <f>SUM(Y706:Y713)</f>
        <v>192364.85722999999</v>
      </c>
      <c r="Z715" s="19">
        <f>SUM(Z706:Z713)</f>
        <v>6126.7805299999973</v>
      </c>
      <c r="AA715" s="19">
        <f>SUM(AA706:AA713)</f>
        <v>16400.651819999999</v>
      </c>
      <c r="AB715" s="19">
        <f>SUM(AB706:AB713)</f>
        <v>2456.018</v>
      </c>
      <c r="AC715" s="19"/>
      <c r="AD715" s="19"/>
    </row>
    <row r="716" spans="1:30" x14ac:dyDescent="0.2">
      <c r="A716" s="18"/>
      <c r="B716" s="9"/>
      <c r="D716" s="21" t="s">
        <v>57</v>
      </c>
      <c r="E716" s="21" t="s">
        <v>57</v>
      </c>
      <c r="F716" s="21" t="s">
        <v>57</v>
      </c>
      <c r="G716" s="21"/>
      <c r="H716" s="21" t="s">
        <v>57</v>
      </c>
      <c r="I716" s="21" t="s">
        <v>57</v>
      </c>
      <c r="J716" s="21" t="s">
        <v>57</v>
      </c>
      <c r="K716" s="21" t="s">
        <v>57</v>
      </c>
      <c r="L716" s="21" t="s">
        <v>57</v>
      </c>
      <c r="M716" s="21"/>
      <c r="N716" s="21" t="s">
        <v>57</v>
      </c>
      <c r="O716" s="21" t="s">
        <v>57</v>
      </c>
      <c r="P716" s="21" t="s">
        <v>57</v>
      </c>
      <c r="Q716" s="21"/>
      <c r="R716" s="21" t="s">
        <v>57</v>
      </c>
      <c r="S716" s="21" t="s">
        <v>57</v>
      </c>
      <c r="T716" s="21" t="s">
        <v>57</v>
      </c>
      <c r="U716" s="21" t="s">
        <v>57</v>
      </c>
      <c r="V716" s="21" t="s">
        <v>57</v>
      </c>
      <c r="W716" s="21"/>
      <c r="X716" s="21" t="s">
        <v>57</v>
      </c>
      <c r="Y716" s="21" t="s">
        <v>57</v>
      </c>
      <c r="Z716" s="21" t="s">
        <v>57</v>
      </c>
      <c r="AA716" s="21" t="s">
        <v>57</v>
      </c>
      <c r="AB716" s="21" t="s">
        <v>57</v>
      </c>
      <c r="AC716" s="21"/>
      <c r="AD716" s="21"/>
    </row>
    <row r="717" spans="1:30" x14ac:dyDescent="0.2">
      <c r="A717" s="18"/>
      <c r="B717" s="9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1:30" x14ac:dyDescent="0.2">
      <c r="A718" s="18">
        <v>53</v>
      </c>
      <c r="B718" s="17" t="s">
        <v>245</v>
      </c>
      <c r="C718" s="17" t="s">
        <v>51</v>
      </c>
      <c r="D718" s="19">
        <f>63916485/1000</f>
        <v>63916.485000000001</v>
      </c>
      <c r="E718" s="19">
        <f>[1]TOBEPAID!E551/1000</f>
        <v>0</v>
      </c>
      <c r="F718" s="19">
        <f>[1]TOBEPAID!F551/1000</f>
        <v>0</v>
      </c>
      <c r="G718" s="19">
        <f>[1]TOBEPAID!G551/1000</f>
        <v>0</v>
      </c>
      <c r="H718" s="19">
        <f>1989950/1000</f>
        <v>1989.95</v>
      </c>
      <c r="I718" s="19">
        <f>[1]TOBEPAID!I551/1000</f>
        <v>0</v>
      </c>
      <c r="J718" s="19">
        <f>[1]TOBEPAID!J551/1000</f>
        <v>0</v>
      </c>
      <c r="K718" s="19">
        <f>[1]TOBEPAID!K551/1000</f>
        <v>0</v>
      </c>
      <c r="L718" s="19">
        <f>[1]TOBEPAID!L551/1000</f>
        <v>0</v>
      </c>
      <c r="M718" s="19">
        <f>[1]TOBEPAID!M551/1000</f>
        <v>0</v>
      </c>
      <c r="N718" s="19">
        <f>[1]TOBEPAID!N551/1000</f>
        <v>0</v>
      </c>
      <c r="O718" s="19">
        <f>[1]TOBEPAID!O551/1000</f>
        <v>10.558630000000004</v>
      </c>
      <c r="P718" s="19">
        <f>[1]TOBEPAID!P551/1000</f>
        <v>0</v>
      </c>
      <c r="Q718" s="19">
        <f>[1]TOBEPAID!Q551/1000</f>
        <v>0</v>
      </c>
      <c r="R718" s="19">
        <f>459101.82/1000</f>
        <v>459.10182000000003</v>
      </c>
      <c r="S718" s="19">
        <f>[1]TOBEPAID!S551/1000</f>
        <v>0</v>
      </c>
      <c r="T718" s="19">
        <f>[1]TOBEPAID!T551/1000</f>
        <v>0</v>
      </c>
      <c r="U718" s="19">
        <f>[1]TOBEPAID!U551/1000</f>
        <v>0</v>
      </c>
      <c r="V718" s="19">
        <f>[1]TOBEPAID!V551/1000</f>
        <v>0</v>
      </c>
      <c r="W718" s="19">
        <f>[1]TOBEPAID!W551/1000</f>
        <v>0</v>
      </c>
      <c r="X718" s="19">
        <f>[1]TOBEPAID!X551/1000</f>
        <v>10.558630000000004</v>
      </c>
      <c r="Y718" s="19">
        <f>+H718+R718</f>
        <v>2449.0518200000001</v>
      </c>
      <c r="Z718" s="19">
        <f>+D718-Y718</f>
        <v>61467.43318</v>
      </c>
      <c r="AA718" s="19">
        <f>[1]TOBEPAID!AA551/1000</f>
        <v>10.558630000000004</v>
      </c>
      <c r="AB718" s="19">
        <f>[1]TOBEPAID!AB551/1000</f>
        <v>63905.926989999993</v>
      </c>
      <c r="AC718" s="19"/>
      <c r="AD718" s="19"/>
    </row>
    <row r="719" spans="1:30" x14ac:dyDescent="0.2">
      <c r="A719" s="18"/>
      <c r="B719" s="17"/>
      <c r="C719" s="17" t="s">
        <v>246</v>
      </c>
      <c r="D719" s="19">
        <f>1000000/1000</f>
        <v>1000</v>
      </c>
      <c r="E719" s="19"/>
      <c r="F719" s="19"/>
      <c r="G719" s="19"/>
      <c r="H719" s="19">
        <f>1000000/1000</f>
        <v>1000</v>
      </c>
      <c r="I719" s="19"/>
      <c r="J719" s="19"/>
      <c r="K719" s="19"/>
      <c r="L719" s="19"/>
      <c r="M719" s="19"/>
      <c r="N719" s="19"/>
      <c r="O719" s="19"/>
      <c r="P719" s="19"/>
      <c r="Q719" s="19"/>
      <c r="R719" s="19">
        <v>0</v>
      </c>
      <c r="S719" s="19"/>
      <c r="T719" s="19"/>
      <c r="U719" s="19"/>
      <c r="V719" s="19"/>
      <c r="W719" s="19"/>
      <c r="X719" s="19"/>
      <c r="Y719" s="19">
        <f>+H719+R719</f>
        <v>1000</v>
      </c>
      <c r="Z719" s="19">
        <f>+D719-Y719</f>
        <v>0</v>
      </c>
      <c r="AA719" s="19"/>
      <c r="AB719" s="19"/>
      <c r="AC719" s="19"/>
      <c r="AD719" s="19"/>
    </row>
    <row r="720" spans="1:30" x14ac:dyDescent="0.2">
      <c r="A720" s="18"/>
      <c r="C720" s="17" t="s">
        <v>247</v>
      </c>
      <c r="D720" s="19">
        <f>182409/1000</f>
        <v>182.40899999999999</v>
      </c>
      <c r="E720" s="19">
        <f>[1]TOBEPAID!E552/1000</f>
        <v>0</v>
      </c>
      <c r="F720" s="19">
        <f>[1]TOBEPAID!F552/1000</f>
        <v>0</v>
      </c>
      <c r="G720" s="19">
        <f>[1]TOBEPAID!G552/1000</f>
        <v>0</v>
      </c>
      <c r="H720" s="19">
        <v>0</v>
      </c>
      <c r="I720" s="19">
        <f>[1]TOBEPAID!I552/1000</f>
        <v>0</v>
      </c>
      <c r="J720" s="19">
        <f>[1]TOBEPAID!J552/1000</f>
        <v>0</v>
      </c>
      <c r="K720" s="19">
        <f>[1]TOBEPAID!K552/1000</f>
        <v>0</v>
      </c>
      <c r="L720" s="19">
        <f>[1]TOBEPAID!L552/1000</f>
        <v>0</v>
      </c>
      <c r="M720" s="19">
        <f>[1]TOBEPAID!M552/1000</f>
        <v>0</v>
      </c>
      <c r="N720" s="19">
        <f>[1]TOBEPAID!N552/1000</f>
        <v>0</v>
      </c>
      <c r="O720" s="19">
        <f>[1]TOBEPAID!O552/1000</f>
        <v>0</v>
      </c>
      <c r="P720" s="19">
        <f>[1]TOBEPAID!P552/1000</f>
        <v>0</v>
      </c>
      <c r="Q720" s="19">
        <f>[1]TOBEPAID!Q552/1000</f>
        <v>0</v>
      </c>
      <c r="R720" s="19">
        <v>0</v>
      </c>
      <c r="S720" s="19">
        <f>[1]TOBEPAID!S552/1000</f>
        <v>0</v>
      </c>
      <c r="T720" s="19">
        <f>[1]TOBEPAID!T552/1000</f>
        <v>0</v>
      </c>
      <c r="U720" s="19">
        <f>[1]TOBEPAID!U552/1000</f>
        <v>0</v>
      </c>
      <c r="V720" s="19">
        <f>[1]TOBEPAID!V552/1000</f>
        <v>0</v>
      </c>
      <c r="W720" s="19">
        <f>[1]TOBEPAID!W552/1000</f>
        <v>0</v>
      </c>
      <c r="X720" s="19">
        <f>[1]TOBEPAID!X552/1000</f>
        <v>0</v>
      </c>
      <c r="Y720" s="19">
        <f>+H720+R720</f>
        <v>0</v>
      </c>
      <c r="Z720" s="19">
        <f>+D720-Y720</f>
        <v>182.40899999999999</v>
      </c>
      <c r="AA720" s="19">
        <f>[1]TOBEPAID!AA552/1000</f>
        <v>0</v>
      </c>
      <c r="AB720" s="19">
        <f>[1]TOBEPAID!AB552/1000</f>
        <v>182.40937</v>
      </c>
      <c r="AC720" s="19"/>
      <c r="AD720" s="19"/>
    </row>
    <row r="721" spans="1:45" x14ac:dyDescent="0.2">
      <c r="C721" s="3" t="s">
        <v>79</v>
      </c>
      <c r="D721" s="3">
        <f>141137/1000</f>
        <v>141.137</v>
      </c>
      <c r="H721" s="3">
        <f>141137.35/1000</f>
        <v>141.13735</v>
      </c>
      <c r="R721" s="19">
        <v>0</v>
      </c>
      <c r="Y721" s="19">
        <f>+H721+R721</f>
        <v>141.13735</v>
      </c>
      <c r="Z721" s="19">
        <f>+D721-Y721</f>
        <v>-3.4999999999740794E-4</v>
      </c>
    </row>
    <row r="722" spans="1:45" x14ac:dyDescent="0.2">
      <c r="A722" s="18"/>
      <c r="C722" s="17" t="s">
        <v>55</v>
      </c>
      <c r="D722" s="19">
        <f>294634/1000</f>
        <v>294.63400000000001</v>
      </c>
      <c r="E722" s="19">
        <f>[1]TOBEPAID!E553/1000</f>
        <v>0</v>
      </c>
      <c r="F722" s="19">
        <f>[1]TOBEPAID!F553/1000</f>
        <v>0</v>
      </c>
      <c r="G722" s="19">
        <f>[1]TOBEPAID!G553/1000</f>
        <v>0</v>
      </c>
      <c r="H722" s="19">
        <v>0</v>
      </c>
      <c r="I722" s="19">
        <f>[1]TOBEPAID!I553/1000</f>
        <v>0</v>
      </c>
      <c r="J722" s="19">
        <f>[1]TOBEPAID!J553/1000</f>
        <v>0</v>
      </c>
      <c r="K722" s="19">
        <f>[1]TOBEPAID!K553/1000</f>
        <v>0</v>
      </c>
      <c r="L722" s="19">
        <f>[1]TOBEPAID!L553/1000</f>
        <v>0</v>
      </c>
      <c r="M722" s="19">
        <f>[1]TOBEPAID!M553/1000</f>
        <v>0</v>
      </c>
      <c r="N722" s="19">
        <f>[1]TOBEPAID!N553/1000</f>
        <v>0</v>
      </c>
      <c r="O722" s="19">
        <f>[1]TOBEPAID!O553/1000</f>
        <v>0</v>
      </c>
      <c r="P722" s="19">
        <f>[1]TOBEPAID!P553/1000</f>
        <v>0</v>
      </c>
      <c r="Q722" s="19">
        <f>[1]TOBEPAID!Q553/1000</f>
        <v>0</v>
      </c>
      <c r="R722" s="19">
        <v>0</v>
      </c>
      <c r="S722" s="19">
        <f>[1]TOBEPAID!S553/1000</f>
        <v>0</v>
      </c>
      <c r="T722" s="19">
        <f>[1]TOBEPAID!T553/1000</f>
        <v>0</v>
      </c>
      <c r="U722" s="19">
        <f>[1]TOBEPAID!U553/1000</f>
        <v>0</v>
      </c>
      <c r="V722" s="19">
        <f>[1]TOBEPAID!V553/1000</f>
        <v>0</v>
      </c>
      <c r="W722" s="19">
        <f>[1]TOBEPAID!W553/1000</f>
        <v>0</v>
      </c>
      <c r="X722" s="19">
        <f>[1]TOBEPAID!X553/1000</f>
        <v>0</v>
      </c>
      <c r="Y722" s="19">
        <f>+H722+R722</f>
        <v>0</v>
      </c>
      <c r="Z722" s="19">
        <f>+D722-Y722</f>
        <v>294.63400000000001</v>
      </c>
      <c r="AA722" s="19">
        <f>[1]TOBEPAID!AA553/1000</f>
        <v>0</v>
      </c>
      <c r="AB722" s="19">
        <f>[1]TOBEPAID!AB553/1000</f>
        <v>294.63400000000001</v>
      </c>
      <c r="AC722" s="19"/>
      <c r="AD722" s="19"/>
    </row>
    <row r="723" spans="1:45" x14ac:dyDescent="0.2">
      <c r="A723" s="18"/>
      <c r="D723" s="21" t="s">
        <v>57</v>
      </c>
      <c r="E723" s="21" t="s">
        <v>57</v>
      </c>
      <c r="F723" s="21" t="s">
        <v>57</v>
      </c>
      <c r="G723" s="21"/>
      <c r="H723" s="21" t="s">
        <v>57</v>
      </c>
      <c r="I723" s="21" t="s">
        <v>57</v>
      </c>
      <c r="J723" s="21" t="s">
        <v>57</v>
      </c>
      <c r="K723" s="21" t="s">
        <v>57</v>
      </c>
      <c r="L723" s="21" t="s">
        <v>57</v>
      </c>
      <c r="M723" s="21"/>
      <c r="N723" s="21" t="s">
        <v>57</v>
      </c>
      <c r="O723" s="21" t="s">
        <v>57</v>
      </c>
      <c r="P723" s="21" t="s">
        <v>57</v>
      </c>
      <c r="Q723" s="21"/>
      <c r="R723" s="21" t="s">
        <v>57</v>
      </c>
      <c r="S723" s="21" t="s">
        <v>57</v>
      </c>
      <c r="T723" s="21" t="s">
        <v>57</v>
      </c>
      <c r="U723" s="21" t="s">
        <v>57</v>
      </c>
      <c r="V723" s="21" t="s">
        <v>57</v>
      </c>
      <c r="W723" s="21"/>
      <c r="X723" s="21" t="s">
        <v>57</v>
      </c>
      <c r="Y723" s="21" t="s">
        <v>57</v>
      </c>
      <c r="Z723" s="21" t="s">
        <v>57</v>
      </c>
      <c r="AA723" s="21" t="s">
        <v>57</v>
      </c>
      <c r="AB723" s="21" t="s">
        <v>57</v>
      </c>
      <c r="AC723" s="21"/>
      <c r="AD723" s="21"/>
    </row>
    <row r="724" spans="1:45" x14ac:dyDescent="0.2">
      <c r="A724" s="18"/>
      <c r="D724" s="19">
        <f>SUM(D718:D722)</f>
        <v>65534.665000000001</v>
      </c>
      <c r="E724" s="19">
        <f>SUM(E718:E722)</f>
        <v>0</v>
      </c>
      <c r="F724" s="19">
        <f>SUM(F718:F722)</f>
        <v>0</v>
      </c>
      <c r="G724" s="19"/>
      <c r="H724" s="19">
        <f>SUM(H718:H722)</f>
        <v>3131.0873499999998</v>
      </c>
      <c r="I724" s="19">
        <f>SUM(I718:I722)</f>
        <v>0</v>
      </c>
      <c r="J724" s="19">
        <f>SUM(J718:J722)</f>
        <v>0</v>
      </c>
      <c r="K724" s="19">
        <f>SUM(K718:K722)</f>
        <v>0</v>
      </c>
      <c r="L724" s="19">
        <f>SUM(L718:L722)</f>
        <v>0</v>
      </c>
      <c r="M724" s="19"/>
      <c r="N724" s="19">
        <f>SUM(N718:N722)</f>
        <v>0</v>
      </c>
      <c r="O724" s="19">
        <f>SUM(O718:O722)</f>
        <v>10.558630000000004</v>
      </c>
      <c r="P724" s="19">
        <f>SUM(P718:P722)</f>
        <v>0</v>
      </c>
      <c r="Q724" s="19"/>
      <c r="R724" s="19">
        <f>SUM(R718:R722)</f>
        <v>459.10182000000003</v>
      </c>
      <c r="S724" s="19">
        <f>SUM(S718:S722)</f>
        <v>0</v>
      </c>
      <c r="T724" s="19">
        <f>SUM(T718:T722)</f>
        <v>0</v>
      </c>
      <c r="U724" s="19">
        <f>SUM(U718:U722)</f>
        <v>0</v>
      </c>
      <c r="V724" s="19">
        <f>SUM(V718:V722)</f>
        <v>0</v>
      </c>
      <c r="W724" s="19"/>
      <c r="X724" s="19">
        <f>SUM(X718:X722)</f>
        <v>10.558630000000004</v>
      </c>
      <c r="Y724" s="19">
        <f>SUM(Y718:Y722)</f>
        <v>3590.1891700000001</v>
      </c>
      <c r="Z724" s="19">
        <f>SUM(Z718:Z722)</f>
        <v>61944.475829999996</v>
      </c>
      <c r="AA724" s="19">
        <f>SUM(AA718:AA722)</f>
        <v>10.558630000000004</v>
      </c>
      <c r="AB724" s="19">
        <f>SUM(AB718:AB722)</f>
        <v>64382.970359999992</v>
      </c>
      <c r="AC724" s="19"/>
      <c r="AD724" s="19"/>
    </row>
    <row r="725" spans="1:45" x14ac:dyDescent="0.2">
      <c r="A725" s="18"/>
      <c r="D725" s="21" t="s">
        <v>57</v>
      </c>
      <c r="E725" s="21" t="s">
        <v>57</v>
      </c>
      <c r="F725" s="21" t="s">
        <v>57</v>
      </c>
      <c r="G725" s="21"/>
      <c r="H725" s="21" t="s">
        <v>57</v>
      </c>
      <c r="I725" s="21" t="s">
        <v>57</v>
      </c>
      <c r="J725" s="21" t="s">
        <v>57</v>
      </c>
      <c r="K725" s="21" t="s">
        <v>57</v>
      </c>
      <c r="L725" s="21" t="s">
        <v>57</v>
      </c>
      <c r="M725" s="21"/>
      <c r="N725" s="21" t="s">
        <v>57</v>
      </c>
      <c r="O725" s="21" t="s">
        <v>57</v>
      </c>
      <c r="P725" s="21" t="s">
        <v>57</v>
      </c>
      <c r="Q725" s="21"/>
      <c r="R725" s="21" t="s">
        <v>57</v>
      </c>
      <c r="S725" s="21" t="s">
        <v>57</v>
      </c>
      <c r="T725" s="21" t="s">
        <v>57</v>
      </c>
      <c r="U725" s="21" t="s">
        <v>57</v>
      </c>
      <c r="V725" s="21" t="s">
        <v>57</v>
      </c>
      <c r="W725" s="21"/>
      <c r="X725" s="21" t="s">
        <v>57</v>
      </c>
      <c r="Y725" s="21" t="s">
        <v>57</v>
      </c>
      <c r="Z725" s="21" t="s">
        <v>57</v>
      </c>
      <c r="AA725" s="21" t="s">
        <v>57</v>
      </c>
      <c r="AB725" s="21" t="s">
        <v>57</v>
      </c>
      <c r="AC725" s="21"/>
      <c r="AD725" s="21"/>
      <c r="AS725" s="34">
        <f t="shared" ref="AS725:AS738" si="127">+AF726-AK726-AP726</f>
        <v>-1.8530000015744008E-3</v>
      </c>
    </row>
    <row r="726" spans="1:45" x14ac:dyDescent="0.2">
      <c r="A726" s="18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F726" s="34">
        <f>+D652+D664+D699</f>
        <v>13435.587</v>
      </c>
      <c r="AG726" s="34">
        <f>+E652+E664+E699</f>
        <v>13435.588853000001</v>
      </c>
      <c r="AH726" s="34">
        <f>+F652+F664+F699</f>
        <v>0</v>
      </c>
      <c r="AI726" s="34">
        <f>+AG726+AH726</f>
        <v>13435.588853000001</v>
      </c>
      <c r="AJ726" s="34">
        <f>+L652+L664+L699</f>
        <v>0</v>
      </c>
      <c r="AK726" s="34">
        <f>+AI726+AJ726</f>
        <v>13435.588853000001</v>
      </c>
      <c r="AL726" s="34">
        <f>+O652+O664+O699</f>
        <v>0</v>
      </c>
      <c r="AM726" s="34">
        <f>+P652+P664+P699</f>
        <v>0</v>
      </c>
      <c r="AN726" s="34">
        <f>+AL726+AM726</f>
        <v>0</v>
      </c>
      <c r="AO726" s="34">
        <f>+V652+V664+V699</f>
        <v>0</v>
      </c>
      <c r="AP726" s="34">
        <f>+AN726+AO726</f>
        <v>0</v>
      </c>
      <c r="AQ726" s="34">
        <f>+AI726+AI682+AI698</f>
        <v>13435.588853000001</v>
      </c>
      <c r="AR726" s="34">
        <f>+AJ726+AJ682</f>
        <v>0</v>
      </c>
      <c r="AS726" s="34">
        <f t="shared" si="127"/>
        <v>48000</v>
      </c>
    </row>
    <row r="727" spans="1:45" x14ac:dyDescent="0.2">
      <c r="A727" s="18">
        <v>54</v>
      </c>
      <c r="B727" s="17" t="s">
        <v>248</v>
      </c>
      <c r="C727" s="17" t="s">
        <v>51</v>
      </c>
      <c r="D727" s="19">
        <f>39844908/1000</f>
        <v>39844.908000000003</v>
      </c>
      <c r="E727" s="19">
        <f>[1]TOBEPAID!E558/1000</f>
        <v>0</v>
      </c>
      <c r="F727" s="19">
        <f>[1]TOBEPAID!F558/1000</f>
        <v>0</v>
      </c>
      <c r="G727" s="19">
        <f>[1]TOBEPAID!G558/1000</f>
        <v>0</v>
      </c>
      <c r="H727" s="19">
        <f>10000000/1000</f>
        <v>10000</v>
      </c>
      <c r="I727" s="19">
        <f>[1]TOBEPAID!I558/1000</f>
        <v>0</v>
      </c>
      <c r="J727" s="19">
        <f>[1]TOBEPAID!J558/1000</f>
        <v>0</v>
      </c>
      <c r="K727" s="19">
        <f>[1]TOBEPAID!K558/1000</f>
        <v>0</v>
      </c>
      <c r="L727" s="19">
        <f>[1]TOBEPAID!L558/1000</f>
        <v>0</v>
      </c>
      <c r="M727" s="19">
        <f>[1]TOBEPAID!M558/1000</f>
        <v>0</v>
      </c>
      <c r="N727" s="19">
        <f>[1]TOBEPAID!N558/1000</f>
        <v>0</v>
      </c>
      <c r="O727" s="19">
        <f>[1]TOBEPAID!O558/1000</f>
        <v>1729.9448499999999</v>
      </c>
      <c r="P727" s="19">
        <f>[1]TOBEPAID!P558/1000</f>
        <v>0</v>
      </c>
      <c r="Q727" s="19">
        <f>[1]TOBEPAID!Q558/1000</f>
        <v>0</v>
      </c>
      <c r="R727" s="19">
        <f>2212297/1000</f>
        <v>2212.297</v>
      </c>
      <c r="S727" s="19">
        <f>[1]TOBEPAID!S558/1000</f>
        <v>0</v>
      </c>
      <c r="T727" s="19">
        <f>[1]TOBEPAID!T558/1000</f>
        <v>0</v>
      </c>
      <c r="U727" s="19">
        <f>[1]TOBEPAID!U558/1000</f>
        <v>0</v>
      </c>
      <c r="V727" s="19">
        <f>[1]TOBEPAID!V558/1000</f>
        <v>0</v>
      </c>
      <c r="W727" s="19">
        <f>[1]TOBEPAID!W558/1000</f>
        <v>0</v>
      </c>
      <c r="X727" s="19">
        <f>[1]TOBEPAID!X558/1000</f>
        <v>1729.9448499999999</v>
      </c>
      <c r="Y727" s="19">
        <f>+H727+R727</f>
        <v>12212.297</v>
      </c>
      <c r="Z727" s="19">
        <f t="shared" ref="Z727:Z736" si="128">+D727-Y727</f>
        <v>27632.611000000004</v>
      </c>
      <c r="AA727" s="19">
        <f>[1]TOBEPAID!AA558/1000</f>
        <v>1729.9448499999999</v>
      </c>
      <c r="AB727" s="19">
        <f>[1]TOBEPAID!AB558/1000</f>
        <v>38114.963399999993</v>
      </c>
      <c r="AC727" s="19"/>
      <c r="AD727" s="19"/>
      <c r="AE727" s="25" t="s">
        <v>100</v>
      </c>
      <c r="AF727" s="34">
        <f>+D639+D677</f>
        <v>86000</v>
      </c>
      <c r="AG727" s="34">
        <f>+E639+E677</f>
        <v>35000</v>
      </c>
      <c r="AH727" s="34">
        <f>+F639+F677</f>
        <v>3000</v>
      </c>
      <c r="AI727" s="34">
        <f>+AG727+AH727</f>
        <v>38000</v>
      </c>
      <c r="AJ727" s="34">
        <f>+L639+L677</f>
        <v>0</v>
      </c>
      <c r="AK727" s="34">
        <f>+AI727+AJ727</f>
        <v>38000</v>
      </c>
      <c r="AL727" s="34">
        <f>+O639+O677</f>
        <v>0</v>
      </c>
      <c r="AM727" s="34">
        <f>+P639+P677</f>
        <v>0</v>
      </c>
      <c r="AN727" s="34">
        <f>+AL727+AM727</f>
        <v>0</v>
      </c>
      <c r="AO727" s="34">
        <f>+V639+V677</f>
        <v>0</v>
      </c>
      <c r="AP727" s="34">
        <f>+AN727+AO727</f>
        <v>0</v>
      </c>
      <c r="AQ727" s="34">
        <f>+AI727+AI683</f>
        <v>38000</v>
      </c>
      <c r="AR727" s="34">
        <f>+AJ727+AJ683</f>
        <v>0</v>
      </c>
      <c r="AS727" s="34">
        <f>+AF729-AK729-AP729</f>
        <v>-9.9000000045634806E-4</v>
      </c>
    </row>
    <row r="728" spans="1:45" x14ac:dyDescent="0.2">
      <c r="A728" s="18"/>
      <c r="B728" s="17"/>
      <c r="C728" s="17" t="s">
        <v>74</v>
      </c>
      <c r="D728" s="19">
        <f>160000000/1000</f>
        <v>160000</v>
      </c>
      <c r="E728" s="19"/>
      <c r="F728" s="19"/>
      <c r="G728" s="19"/>
      <c r="H728" s="19">
        <v>0</v>
      </c>
      <c r="I728" s="19"/>
      <c r="J728" s="19"/>
      <c r="K728" s="19"/>
      <c r="L728" s="19"/>
      <c r="M728" s="19"/>
      <c r="N728" s="19"/>
      <c r="O728" s="19"/>
      <c r="P728" s="19"/>
      <c r="Q728" s="19"/>
      <c r="R728" s="19">
        <v>0</v>
      </c>
      <c r="S728" s="19"/>
      <c r="T728" s="19"/>
      <c r="U728" s="19"/>
      <c r="V728" s="19"/>
      <c r="W728" s="19"/>
      <c r="X728" s="19"/>
      <c r="Y728" s="19">
        <f>+H728+R728</f>
        <v>0</v>
      </c>
      <c r="Z728" s="19">
        <f t="shared" si="128"/>
        <v>160000</v>
      </c>
      <c r="AA728" s="19"/>
      <c r="AB728" s="19"/>
      <c r="AC728" s="19"/>
      <c r="AD728" s="19"/>
      <c r="AE728" s="25"/>
      <c r="AF728" s="34"/>
      <c r="AG728" s="34"/>
      <c r="AH728" s="34"/>
      <c r="AI728" s="34"/>
      <c r="AJ728" s="34"/>
      <c r="AK728" s="34"/>
      <c r="AL728" s="34"/>
      <c r="AM728" s="34"/>
      <c r="AN728" s="34"/>
      <c r="AO728" s="34"/>
      <c r="AP728" s="34"/>
      <c r="AQ728" s="34"/>
      <c r="AR728" s="34"/>
      <c r="AS728" s="34"/>
    </row>
    <row r="729" spans="1:45" x14ac:dyDescent="0.2">
      <c r="C729" s="3" t="s">
        <v>62</v>
      </c>
      <c r="D729" s="19">
        <f>5398276/1000</f>
        <v>5398.2759999999998</v>
      </c>
      <c r="E729" s="19">
        <f>[1]TOBEPAID!E559/1000</f>
        <v>5398.2769900000003</v>
      </c>
      <c r="F729" s="19">
        <f>[1]TOBEPAID!F559/1000</f>
        <v>0</v>
      </c>
      <c r="G729" s="19">
        <f>[1]TOBEPAID!G559/1000</f>
        <v>0</v>
      </c>
      <c r="H729" s="19">
        <f>5398276/1000</f>
        <v>5398.2759999999998</v>
      </c>
      <c r="I729" s="19">
        <f>[1]TOBEPAID!I559/1000</f>
        <v>0</v>
      </c>
      <c r="J729" s="19">
        <f>[1]TOBEPAID!J559/1000</f>
        <v>0</v>
      </c>
      <c r="K729" s="19">
        <f>[1]TOBEPAID!K559/1000</f>
        <v>0</v>
      </c>
      <c r="L729" s="19">
        <f>[1]TOBEPAID!L559/1000</f>
        <v>0</v>
      </c>
      <c r="M729" s="19">
        <f>[1]TOBEPAID!M559/1000</f>
        <v>0</v>
      </c>
      <c r="N729" s="19">
        <f>[1]TOBEPAID!N559/1000</f>
        <v>5398.2769900000003</v>
      </c>
      <c r="O729" s="19">
        <f>[1]TOBEPAID!O559/1000</f>
        <v>0</v>
      </c>
      <c r="P729" s="19">
        <f>[1]TOBEPAID!P559/1000</f>
        <v>0</v>
      </c>
      <c r="Q729" s="19">
        <f>[1]TOBEPAID!Q559/1000</f>
        <v>0</v>
      </c>
      <c r="R729" s="19">
        <v>0</v>
      </c>
      <c r="S729" s="19">
        <f>[1]TOBEPAID!S559/1000</f>
        <v>0</v>
      </c>
      <c r="T729" s="19">
        <f>[1]TOBEPAID!T559/1000</f>
        <v>0</v>
      </c>
      <c r="U729" s="19">
        <f>[1]TOBEPAID!U559/1000</f>
        <v>0</v>
      </c>
      <c r="V729" s="19">
        <f>[1]TOBEPAID!V559/1000</f>
        <v>0</v>
      </c>
      <c r="W729" s="19">
        <f>[1]TOBEPAID!W559/1000</f>
        <v>0</v>
      </c>
      <c r="X729" s="19">
        <f>[1]TOBEPAID!X559/1000</f>
        <v>0</v>
      </c>
      <c r="Y729" s="19">
        <f t="shared" ref="Y729:Y736" si="129">+H729+R729</f>
        <v>5398.2759999999998</v>
      </c>
      <c r="Z729" s="19">
        <f t="shared" si="128"/>
        <v>0</v>
      </c>
      <c r="AA729" s="19">
        <f>[1]TOBEPAID!AA559/1000</f>
        <v>5398.2769900000003</v>
      </c>
      <c r="AB729" s="19">
        <f>[1]TOBEPAID!AB559/1000</f>
        <v>0</v>
      </c>
      <c r="AC729" s="19"/>
      <c r="AD729" s="19"/>
      <c r="AE729" s="25" t="s">
        <v>249</v>
      </c>
      <c r="AF729" s="34">
        <f>+D729+D745</f>
        <v>13398.276</v>
      </c>
      <c r="AG729" s="34">
        <f>+E729+E745</f>
        <v>13398.27699</v>
      </c>
      <c r="AH729" s="34">
        <f>+F729+F745</f>
        <v>0</v>
      </c>
      <c r="AI729" s="34">
        <f>+AG729+AH729</f>
        <v>13398.27699</v>
      </c>
      <c r="AJ729" s="34">
        <f>+L729+L745</f>
        <v>0</v>
      </c>
      <c r="AK729" s="34">
        <f>+AI729+AJ729</f>
        <v>13398.27699</v>
      </c>
      <c r="AL729" s="34">
        <f>+O729+O745</f>
        <v>0</v>
      </c>
      <c r="AM729" s="34">
        <f>+P729+P745</f>
        <v>0</v>
      </c>
      <c r="AN729" s="34">
        <f>+AL729+AM729</f>
        <v>0</v>
      </c>
      <c r="AO729" s="34">
        <f>+V729+V745</f>
        <v>0</v>
      </c>
      <c r="AP729" s="34">
        <f>+AN729+AO729</f>
        <v>0</v>
      </c>
      <c r="AQ729" s="34">
        <f>+AI729+AI684</f>
        <v>13398.27699</v>
      </c>
      <c r="AR729" s="34">
        <f>+AJ729+AJ684</f>
        <v>0</v>
      </c>
      <c r="AS729" s="34">
        <f>+AF732-AK732-AP732</f>
        <v>0</v>
      </c>
    </row>
    <row r="730" spans="1:45" x14ac:dyDescent="0.2">
      <c r="C730" s="3" t="s">
        <v>250</v>
      </c>
      <c r="D730" s="19">
        <f>28000000/1000</f>
        <v>28000</v>
      </c>
      <c r="E730" s="19"/>
      <c r="F730" s="19"/>
      <c r="G730" s="19"/>
      <c r="H730" s="19">
        <f>28000000/1000</f>
        <v>28000</v>
      </c>
      <c r="I730" s="19"/>
      <c r="J730" s="19"/>
      <c r="K730" s="19"/>
      <c r="L730" s="19"/>
      <c r="M730" s="19"/>
      <c r="N730" s="19"/>
      <c r="O730" s="19"/>
      <c r="P730" s="19"/>
      <c r="Q730" s="19"/>
      <c r="R730" s="19">
        <v>0</v>
      </c>
      <c r="S730" s="19"/>
      <c r="T730" s="19"/>
      <c r="U730" s="19"/>
      <c r="V730" s="19"/>
      <c r="W730" s="19"/>
      <c r="X730" s="19"/>
      <c r="Y730" s="19">
        <f>+H730+R730</f>
        <v>28000</v>
      </c>
      <c r="Z730" s="19">
        <f t="shared" si="128"/>
        <v>0</v>
      </c>
      <c r="AA730" s="19"/>
      <c r="AB730" s="19"/>
      <c r="AC730" s="19"/>
      <c r="AD730" s="19"/>
      <c r="AE730" s="25"/>
      <c r="AF730" s="34"/>
      <c r="AG730" s="34"/>
      <c r="AH730" s="34"/>
      <c r="AI730" s="34"/>
      <c r="AJ730" s="34"/>
      <c r="AK730" s="34"/>
      <c r="AL730" s="34"/>
      <c r="AM730" s="34"/>
      <c r="AN730" s="34"/>
      <c r="AO730" s="34"/>
      <c r="AP730" s="34"/>
      <c r="AQ730" s="34"/>
      <c r="AR730" s="34"/>
      <c r="AS730" s="34"/>
    </row>
    <row r="731" spans="1:45" x14ac:dyDescent="0.2">
      <c r="C731" s="3" t="s">
        <v>128</v>
      </c>
      <c r="D731" s="19">
        <f>17500000/1000</f>
        <v>17500</v>
      </c>
      <c r="E731" s="19"/>
      <c r="F731" s="19"/>
      <c r="G731" s="19"/>
      <c r="H731" s="19">
        <f>D731</f>
        <v>17500</v>
      </c>
      <c r="I731" s="19"/>
      <c r="J731" s="19"/>
      <c r="K731" s="19"/>
      <c r="L731" s="19"/>
      <c r="M731" s="19"/>
      <c r="N731" s="19"/>
      <c r="O731" s="19"/>
      <c r="P731" s="19"/>
      <c r="Q731" s="19"/>
      <c r="R731" s="19">
        <v>0</v>
      </c>
      <c r="S731" s="19"/>
      <c r="T731" s="19"/>
      <c r="U731" s="19"/>
      <c r="V731" s="19"/>
      <c r="W731" s="19"/>
      <c r="X731" s="19"/>
      <c r="Y731" s="19">
        <f>+H731+R731</f>
        <v>17500</v>
      </c>
      <c r="Z731" s="19">
        <f t="shared" si="128"/>
        <v>0</v>
      </c>
      <c r="AA731" s="19"/>
      <c r="AB731" s="19"/>
      <c r="AC731" s="19"/>
      <c r="AD731" s="19"/>
      <c r="AE731" s="25"/>
      <c r="AF731" s="34"/>
      <c r="AG731" s="34"/>
      <c r="AH731" s="34"/>
      <c r="AI731" s="34"/>
      <c r="AJ731" s="34"/>
      <c r="AK731" s="34"/>
      <c r="AL731" s="34"/>
      <c r="AM731" s="34"/>
      <c r="AN731" s="34"/>
      <c r="AO731" s="34"/>
      <c r="AP731" s="34"/>
      <c r="AQ731" s="34"/>
      <c r="AR731" s="34"/>
      <c r="AS731" s="34"/>
    </row>
    <row r="732" spans="1:45" x14ac:dyDescent="0.2">
      <c r="A732" s="18"/>
      <c r="C732" s="20" t="s">
        <v>52</v>
      </c>
      <c r="D732" s="19">
        <f>2147487/1000</f>
        <v>2147.4870000000001</v>
      </c>
      <c r="E732" s="19">
        <f>[1]TOBEPAID!E560/1000</f>
        <v>2147.4875000000002</v>
      </c>
      <c r="F732" s="19">
        <f>[1]TOBEPAID!F560/1000</f>
        <v>0</v>
      </c>
      <c r="G732" s="19">
        <f>[1]TOBEPAID!G560/1000</f>
        <v>0</v>
      </c>
      <c r="H732" s="19">
        <f>2147487/1000</f>
        <v>2147.4870000000001</v>
      </c>
      <c r="I732" s="19">
        <f>[1]TOBEPAID!I560/1000</f>
        <v>0</v>
      </c>
      <c r="J732" s="19">
        <f>[1]TOBEPAID!J560/1000</f>
        <v>0</v>
      </c>
      <c r="K732" s="19">
        <f>[1]TOBEPAID!K560/1000</f>
        <v>0</v>
      </c>
      <c r="L732" s="19">
        <f>[1]TOBEPAID!L560/1000</f>
        <v>0</v>
      </c>
      <c r="M732" s="19">
        <f>[1]TOBEPAID!M560/1000</f>
        <v>0</v>
      </c>
      <c r="N732" s="19">
        <f>[1]TOBEPAID!N560/1000</f>
        <v>2147.4875000000002</v>
      </c>
      <c r="O732" s="19">
        <f>[1]TOBEPAID!O560/1000</f>
        <v>0</v>
      </c>
      <c r="P732" s="19">
        <f>[1]TOBEPAID!P560/1000</f>
        <v>0</v>
      </c>
      <c r="Q732" s="19">
        <f>[1]TOBEPAID!Q560/1000</f>
        <v>0</v>
      </c>
      <c r="R732" s="19">
        <v>0</v>
      </c>
      <c r="S732" s="19">
        <f>[1]TOBEPAID!S560/1000</f>
        <v>0</v>
      </c>
      <c r="T732" s="19">
        <f>[1]TOBEPAID!T560/1000</f>
        <v>0</v>
      </c>
      <c r="U732" s="19">
        <f>[1]TOBEPAID!U560/1000</f>
        <v>0</v>
      </c>
      <c r="V732" s="19">
        <f>[1]TOBEPAID!V560/1000</f>
        <v>0</v>
      </c>
      <c r="W732" s="19">
        <f>[1]TOBEPAID!W560/1000</f>
        <v>0</v>
      </c>
      <c r="X732" s="19">
        <f>[1]TOBEPAID!X560/1000</f>
        <v>0</v>
      </c>
      <c r="Y732" s="19">
        <f t="shared" si="129"/>
        <v>2147.4870000000001</v>
      </c>
      <c r="Z732" s="19">
        <f t="shared" si="128"/>
        <v>0</v>
      </c>
      <c r="AA732" s="19">
        <f>[1]TOBEPAID!AA560/1000</f>
        <v>2147.4875000000002</v>
      </c>
      <c r="AB732" s="19">
        <f>[1]TOBEPAID!AB560/1000</f>
        <v>0</v>
      </c>
      <c r="AC732" s="19"/>
      <c r="AD732" s="19"/>
      <c r="AE732" s="25" t="s">
        <v>72</v>
      </c>
      <c r="AF732" s="34">
        <f>+D733+D689</f>
        <v>7642</v>
      </c>
      <c r="AG732" s="34">
        <f>+E733+E689</f>
        <v>7642</v>
      </c>
      <c r="AH732" s="34">
        <f>+F733+F689</f>
        <v>0</v>
      </c>
      <c r="AI732" s="34">
        <f>+AG732+AH732</f>
        <v>7642</v>
      </c>
      <c r="AJ732" s="34">
        <f>+L733+L689</f>
        <v>0</v>
      </c>
      <c r="AK732" s="34">
        <f>+AI732+AJ732</f>
        <v>7642</v>
      </c>
      <c r="AL732" s="34">
        <f>+O733+O689</f>
        <v>0</v>
      </c>
      <c r="AM732" s="34">
        <f>+P733+P689</f>
        <v>0</v>
      </c>
      <c r="AN732" s="34">
        <f>+AL732+AM732</f>
        <v>0</v>
      </c>
      <c r="AO732" s="34">
        <f>+V733+V689</f>
        <v>0</v>
      </c>
      <c r="AP732" s="34">
        <f>+AN732+AO732</f>
        <v>0</v>
      </c>
      <c r="AQ732" s="34">
        <f>+AI732+AI685</f>
        <v>7642</v>
      </c>
      <c r="AR732" s="34">
        <f t="shared" ref="AR732:AR743" si="130">+AF732-AQ732</f>
        <v>0</v>
      </c>
      <c r="AS732" s="34" t="e">
        <f t="shared" si="127"/>
        <v>#REF!</v>
      </c>
    </row>
    <row r="733" spans="1:45" x14ac:dyDescent="0.2">
      <c r="C733" s="3" t="s">
        <v>78</v>
      </c>
      <c r="D733" s="19">
        <f>2842000/1000</f>
        <v>2842</v>
      </c>
      <c r="E733" s="19">
        <f>[1]TOBEPAID!E561/1000</f>
        <v>2842</v>
      </c>
      <c r="F733" s="19">
        <f>[1]TOBEPAID!F561/1000</f>
        <v>0</v>
      </c>
      <c r="G733" s="19">
        <f>[1]TOBEPAID!G561/1000</f>
        <v>0</v>
      </c>
      <c r="H733" s="19">
        <f>2842000/1000</f>
        <v>2842</v>
      </c>
      <c r="I733" s="19">
        <f>[1]TOBEPAID!I561/1000</f>
        <v>0</v>
      </c>
      <c r="J733" s="19">
        <f>[1]TOBEPAID!J561/1000</f>
        <v>0</v>
      </c>
      <c r="K733" s="19">
        <f>[1]TOBEPAID!K561/1000</f>
        <v>0</v>
      </c>
      <c r="L733" s="19">
        <f>[1]TOBEPAID!L561/1000</f>
        <v>0</v>
      </c>
      <c r="M733" s="19">
        <f>[1]TOBEPAID!M561/1000</f>
        <v>0</v>
      </c>
      <c r="N733" s="19">
        <f>[1]TOBEPAID!N561/1000</f>
        <v>2842</v>
      </c>
      <c r="O733" s="19">
        <f>[1]TOBEPAID!O561/1000</f>
        <v>0</v>
      </c>
      <c r="P733" s="19">
        <f>[1]TOBEPAID!P561/1000</f>
        <v>0</v>
      </c>
      <c r="Q733" s="19">
        <f>[1]TOBEPAID!Q561/1000</f>
        <v>0</v>
      </c>
      <c r="R733" s="19">
        <v>0</v>
      </c>
      <c r="S733" s="19">
        <f>[1]TOBEPAID!S561/1000</f>
        <v>0</v>
      </c>
      <c r="T733" s="19">
        <f>[1]TOBEPAID!T561/1000</f>
        <v>0</v>
      </c>
      <c r="U733" s="19">
        <f>[1]TOBEPAID!U561/1000</f>
        <v>0</v>
      </c>
      <c r="V733" s="19">
        <f>[1]TOBEPAID!V561/1000</f>
        <v>0</v>
      </c>
      <c r="W733" s="19">
        <f>[1]TOBEPAID!W561/1000</f>
        <v>0</v>
      </c>
      <c r="X733" s="19">
        <f>[1]TOBEPAID!X561/1000</f>
        <v>0</v>
      </c>
      <c r="Y733" s="19">
        <f t="shared" si="129"/>
        <v>2842</v>
      </c>
      <c r="Z733" s="19">
        <f t="shared" si="128"/>
        <v>0</v>
      </c>
      <c r="AA733" s="19">
        <f>[1]TOBEPAID!AA561/1000</f>
        <v>2842</v>
      </c>
      <c r="AB733" s="19">
        <f>[1]TOBEPAID!AB561/1000</f>
        <v>0</v>
      </c>
      <c r="AC733" s="19"/>
      <c r="AD733" s="19"/>
      <c r="AE733" s="25" t="s">
        <v>78</v>
      </c>
      <c r="AF733" s="34" t="e">
        <f>D622+#REF!+#REF!+D632+D647+D659+D672+D684+D697+D706+D718+D727+D744</f>
        <v>#REF!</v>
      </c>
      <c r="AG733" s="34" t="e">
        <f>E622+#REF!+#REF!+E632+E647+E659+E672+E684+E697+E706+E718+E727+E744</f>
        <v>#REF!</v>
      </c>
      <c r="AH733" s="34" t="e">
        <f>F622+#REF!+#REF!+F632+F647+F659+F672+F684+F697+F706+F718+F727+F744</f>
        <v>#REF!</v>
      </c>
      <c r="AI733" s="34" t="e">
        <f>+AG733+AH733</f>
        <v>#REF!</v>
      </c>
      <c r="AJ733" s="3" t="e">
        <f>L622+#REF!+#REF!+L632+L647+L659+L672+L684+L697+L706+L718+L727+L744</f>
        <v>#REF!</v>
      </c>
      <c r="AK733" s="34" t="e">
        <f>+AI733+AJ733</f>
        <v>#REF!</v>
      </c>
      <c r="AL733" s="34" t="e">
        <f>O622+#REF!+#REF!+O632+O647+O659+O672+O684+O697+O706+O718+O727+O744</f>
        <v>#REF!</v>
      </c>
      <c r="AM733" s="3" t="e">
        <f>P622+#REF!+#REF!+P632+P647+P659+P672+P684+P697+P706+P718+P727+P744</f>
        <v>#REF!</v>
      </c>
      <c r="AN733" s="34" t="e">
        <f>+AL733+AM733</f>
        <v>#REF!</v>
      </c>
      <c r="AO733" s="34" t="e">
        <f>V622+#REF!+#REF!+V632+V647+V659+V672+V684+V697+V706+V718+V727+V744</f>
        <v>#REF!</v>
      </c>
      <c r="AP733" s="34" t="e">
        <f>+AN733+AO733</f>
        <v>#REF!</v>
      </c>
      <c r="AQ733" s="34" t="e">
        <f>+AI733+AN733</f>
        <v>#REF!</v>
      </c>
      <c r="AR733" s="34" t="e">
        <f t="shared" si="130"/>
        <v>#REF!</v>
      </c>
      <c r="AS733" s="34">
        <f>+AF735-AK735-AP735</f>
        <v>-3.8899999963177834E-3</v>
      </c>
    </row>
    <row r="734" spans="1:45" x14ac:dyDescent="0.2">
      <c r="C734" s="3" t="s">
        <v>79</v>
      </c>
      <c r="D734" s="19">
        <f>1895366.15/1000</f>
        <v>1895.3661499999998</v>
      </c>
      <c r="E734" s="19"/>
      <c r="F734" s="19"/>
      <c r="G734" s="19"/>
      <c r="H734" s="19">
        <f>1895366.15/1000</f>
        <v>1895.3661499999998</v>
      </c>
      <c r="I734" s="19"/>
      <c r="J734" s="19"/>
      <c r="K734" s="19"/>
      <c r="L734" s="19"/>
      <c r="M734" s="19"/>
      <c r="N734" s="19"/>
      <c r="O734" s="19"/>
      <c r="P734" s="19"/>
      <c r="Q734" s="19"/>
      <c r="R734" s="19">
        <v>0</v>
      </c>
      <c r="S734" s="19"/>
      <c r="T734" s="19"/>
      <c r="U734" s="19"/>
      <c r="V734" s="19"/>
      <c r="W734" s="19"/>
      <c r="X734" s="19"/>
      <c r="Y734" s="19">
        <f t="shared" si="129"/>
        <v>1895.3661499999998</v>
      </c>
      <c r="Z734" s="19">
        <f t="shared" si="128"/>
        <v>0</v>
      </c>
      <c r="AA734" s="19"/>
      <c r="AB734" s="19"/>
      <c r="AC734" s="19"/>
      <c r="AD734" s="19"/>
      <c r="AE734" s="25"/>
      <c r="AF734" s="34"/>
      <c r="AG734" s="34"/>
      <c r="AH734" s="34"/>
      <c r="AI734" s="34"/>
      <c r="AK734" s="34"/>
      <c r="AL734" s="34"/>
      <c r="AN734" s="34"/>
      <c r="AO734" s="34"/>
      <c r="AP734" s="34"/>
      <c r="AQ734" s="34"/>
      <c r="AR734" s="34"/>
      <c r="AS734" s="34"/>
    </row>
    <row r="735" spans="1:45" x14ac:dyDescent="0.2">
      <c r="A735" s="18"/>
      <c r="C735" s="17" t="s">
        <v>251</v>
      </c>
      <c r="D735" s="19">
        <f>8127029/1000</f>
        <v>8127.0290000000005</v>
      </c>
      <c r="E735" s="19">
        <f>[1]TOBEPAID!E562/1000</f>
        <v>0</v>
      </c>
      <c r="F735" s="19">
        <f>[1]TOBEPAID!F562/1000</f>
        <v>0</v>
      </c>
      <c r="G735" s="19">
        <f>[1]TOBEPAID!G562/1000</f>
        <v>0</v>
      </c>
      <c r="H735" s="19">
        <v>0</v>
      </c>
      <c r="I735" s="19">
        <f>[1]TOBEPAID!I562/1000</f>
        <v>0</v>
      </c>
      <c r="J735" s="19">
        <f>[1]TOBEPAID!J562/1000</f>
        <v>0</v>
      </c>
      <c r="K735" s="19">
        <f>[1]TOBEPAID!K562/1000</f>
        <v>0</v>
      </c>
      <c r="L735" s="19">
        <f>[1]TOBEPAID!L562/1000</f>
        <v>0</v>
      </c>
      <c r="M735" s="19">
        <f>[1]TOBEPAID!M562/1000</f>
        <v>0</v>
      </c>
      <c r="N735" s="19">
        <f>[1]TOBEPAID!N562/1000</f>
        <v>0</v>
      </c>
      <c r="O735" s="19">
        <f>[1]TOBEPAID!O562/1000</f>
        <v>8127.0294300000005</v>
      </c>
      <c r="P735" s="19">
        <f>[1]TOBEPAID!P562/1000</f>
        <v>0</v>
      </c>
      <c r="Q735" s="19">
        <f>[1]TOBEPAID!Q562/1000</f>
        <v>0</v>
      </c>
      <c r="R735" s="19">
        <f>8127029/1000</f>
        <v>8127.0290000000005</v>
      </c>
      <c r="S735" s="19">
        <f>[1]TOBEPAID!S562/1000</f>
        <v>0</v>
      </c>
      <c r="T735" s="19">
        <f>[1]TOBEPAID!T562/1000</f>
        <v>0</v>
      </c>
      <c r="U735" s="19">
        <f>[1]TOBEPAID!U562/1000</f>
        <v>0</v>
      </c>
      <c r="V735" s="19">
        <f>[1]TOBEPAID!V562/1000</f>
        <v>0</v>
      </c>
      <c r="W735" s="19">
        <f>[1]TOBEPAID!W562/1000</f>
        <v>0</v>
      </c>
      <c r="X735" s="19">
        <f>[1]TOBEPAID!X562/1000</f>
        <v>8127.0294300000005</v>
      </c>
      <c r="Y735" s="19">
        <f t="shared" si="129"/>
        <v>8127.0290000000005</v>
      </c>
      <c r="Z735" s="19">
        <f t="shared" si="128"/>
        <v>0</v>
      </c>
      <c r="AA735" s="19">
        <f>[1]TOBEPAID!AA562/1000</f>
        <v>8127.0294300000005</v>
      </c>
      <c r="AB735" s="19">
        <f>[1]TOBEPAID!AB562/1000</f>
        <v>0</v>
      </c>
      <c r="AC735" s="19"/>
      <c r="AD735" s="19"/>
      <c r="AE735" s="25" t="s">
        <v>85</v>
      </c>
      <c r="AF735" s="34">
        <f>D623+D633+D648+D660+D673+D685+D698+D707+D732+D746</f>
        <v>20514.712100000001</v>
      </c>
      <c r="AG735" s="34">
        <f>E623+E633+E648+E660+E673+E685+E698+E707+E732+E746</f>
        <v>20514.715989999997</v>
      </c>
      <c r="AH735" s="34">
        <f>F623+F633+F648+F660+F673+F685+F698+F707+F732+F746</f>
        <v>0</v>
      </c>
      <c r="AI735" s="34">
        <f t="shared" ref="AI735:AI743" si="131">+AG735+AH735</f>
        <v>20514.715989999997</v>
      </c>
      <c r="AJ735" s="3">
        <f>L623+L633+L648+L660+L673+L685+L698+L707+L732+L746</f>
        <v>0</v>
      </c>
      <c r="AK735" s="34">
        <f t="shared" ref="AK735:AK743" si="132">+AI735+AJ735</f>
        <v>20514.715989999997</v>
      </c>
      <c r="AL735" s="34">
        <f>O623+O633+O648+O660+O673+O685+O698+O707+O732+O746</f>
        <v>0</v>
      </c>
      <c r="AM735" s="3">
        <f>P623+P633+P648+P660+P673+P685+P698+P707+P732+P746</f>
        <v>0</v>
      </c>
      <c r="AN735" s="34">
        <f t="shared" ref="AN735:AN743" si="133">+AL735+AM735</f>
        <v>0</v>
      </c>
      <c r="AO735" s="34">
        <f>V623+V633+V648+V660+V673+V685+V698+V707+V732+V746</f>
        <v>0</v>
      </c>
      <c r="AP735" s="34">
        <f t="shared" ref="AP735:AP743" si="134">+AN735+AO735</f>
        <v>0</v>
      </c>
      <c r="AQ735" s="34">
        <f t="shared" ref="AQ735:AQ743" si="135">+AI735+AN735</f>
        <v>20514.715989999997</v>
      </c>
      <c r="AR735" s="34">
        <f t="shared" si="130"/>
        <v>-3.8899999963177834E-3</v>
      </c>
      <c r="AS735" s="34">
        <f t="shared" si="127"/>
        <v>188.56478999999945</v>
      </c>
    </row>
    <row r="736" spans="1:45" x14ac:dyDescent="0.2">
      <c r="A736" s="18"/>
      <c r="C736" s="17" t="s">
        <v>97</v>
      </c>
      <c r="D736" s="19">
        <f>10787951/1000</f>
        <v>10787.950999999999</v>
      </c>
      <c r="E736" s="19">
        <f>[1]TOBEPAID!E563/1000</f>
        <v>0</v>
      </c>
      <c r="F736" s="19">
        <f>[1]TOBEPAID!F563/1000</f>
        <v>0</v>
      </c>
      <c r="G736" s="19">
        <f>[1]TOBEPAID!G563/1000</f>
        <v>0</v>
      </c>
      <c r="H736" s="19">
        <v>0</v>
      </c>
      <c r="I736" s="19">
        <f>[1]TOBEPAID!I563/1000</f>
        <v>0</v>
      </c>
      <c r="J736" s="19">
        <f>[1]TOBEPAID!J563/1000</f>
        <v>0</v>
      </c>
      <c r="K736" s="19">
        <f>[1]TOBEPAID!K563/1000</f>
        <v>0</v>
      </c>
      <c r="L736" s="19">
        <f>[1]TOBEPAID!L563/1000</f>
        <v>0</v>
      </c>
      <c r="M736" s="19">
        <f>[1]TOBEPAID!M563/1000</f>
        <v>0</v>
      </c>
      <c r="N736" s="19">
        <f>[1]TOBEPAID!N563/1000</f>
        <v>0</v>
      </c>
      <c r="O736" s="19">
        <f>[1]TOBEPAID!O563/1000</f>
        <v>10787.951539999998</v>
      </c>
      <c r="P736" s="19">
        <f>[1]TOBEPAID!P563/1000</f>
        <v>0</v>
      </c>
      <c r="Q736" s="19">
        <f>[1]TOBEPAID!Q563/1000</f>
        <v>0</v>
      </c>
      <c r="R736" s="19">
        <f>10931529.45/1000</f>
        <v>10931.52945</v>
      </c>
      <c r="S736" s="19">
        <f>[1]TOBEPAID!S563/1000</f>
        <v>0</v>
      </c>
      <c r="T736" s="19">
        <f>[1]TOBEPAID!T563/1000</f>
        <v>0</v>
      </c>
      <c r="U736" s="19">
        <f>[1]TOBEPAID!U563/1000</f>
        <v>0</v>
      </c>
      <c r="V736" s="19">
        <f>[1]TOBEPAID!V563/1000</f>
        <v>0</v>
      </c>
      <c r="W736" s="19">
        <f>[1]TOBEPAID!W563/1000</f>
        <v>0</v>
      </c>
      <c r="X736" s="19">
        <f>[1]TOBEPAID!X563/1000</f>
        <v>10787.951539999998</v>
      </c>
      <c r="Y736" s="19">
        <f t="shared" si="129"/>
        <v>10931.52945</v>
      </c>
      <c r="Z736" s="19">
        <f t="shared" si="128"/>
        <v>-143.57845000000088</v>
      </c>
      <c r="AA736" s="19">
        <f>[1]TOBEPAID!AA563/1000</f>
        <v>10787.951539999998</v>
      </c>
      <c r="AB736" s="19">
        <f>[1]TOBEPAID!AB563/1000</f>
        <v>0</v>
      </c>
      <c r="AC736" s="19" t="s">
        <v>116</v>
      </c>
      <c r="AD736" s="19"/>
      <c r="AE736" s="25" t="s">
        <v>52</v>
      </c>
      <c r="AF736" s="34">
        <f>D635+D653+D665+D678+D691</f>
        <v>2579.3919999999998</v>
      </c>
      <c r="AG736" s="34">
        <f>E635+E653+E665+E678+E691</f>
        <v>0</v>
      </c>
      <c r="AH736" s="34">
        <f>F635+F653+F665+F678+F691</f>
        <v>0</v>
      </c>
      <c r="AI736" s="34">
        <f t="shared" si="131"/>
        <v>0</v>
      </c>
      <c r="AJ736" s="3">
        <f>L635+L653+L665+L678+L691</f>
        <v>0</v>
      </c>
      <c r="AK736" s="34">
        <f t="shared" si="132"/>
        <v>0</v>
      </c>
      <c r="AL736" s="34">
        <f>O635+O653+O665+O678+O691</f>
        <v>2390.8272100000004</v>
      </c>
      <c r="AM736" s="3">
        <f>P635+P653+P665+P678+P691</f>
        <v>0</v>
      </c>
      <c r="AN736" s="34">
        <f t="shared" si="133"/>
        <v>2390.8272100000004</v>
      </c>
      <c r="AO736" s="34">
        <f>V635+V653+V665+V678+V691</f>
        <v>0</v>
      </c>
      <c r="AP736" s="34">
        <f t="shared" si="134"/>
        <v>2390.8272100000004</v>
      </c>
      <c r="AQ736" s="34">
        <f t="shared" si="135"/>
        <v>2390.8272100000004</v>
      </c>
      <c r="AR736" s="34">
        <f t="shared" si="130"/>
        <v>188.56478999999945</v>
      </c>
      <c r="AS736" s="34">
        <f t="shared" si="127"/>
        <v>3425.8087999999998</v>
      </c>
    </row>
    <row r="737" spans="1:45" x14ac:dyDescent="0.2">
      <c r="A737" s="18"/>
      <c r="D737" s="21" t="s">
        <v>57</v>
      </c>
      <c r="E737" s="21" t="s">
        <v>57</v>
      </c>
      <c r="F737" s="21" t="s">
        <v>57</v>
      </c>
      <c r="G737" s="21"/>
      <c r="H737" s="21" t="s">
        <v>57</v>
      </c>
      <c r="I737" s="21" t="s">
        <v>57</v>
      </c>
      <c r="J737" s="21" t="s">
        <v>57</v>
      </c>
      <c r="K737" s="21" t="s">
        <v>57</v>
      </c>
      <c r="L737" s="21" t="s">
        <v>57</v>
      </c>
      <c r="M737" s="21"/>
      <c r="N737" s="21" t="s">
        <v>57</v>
      </c>
      <c r="O737" s="21" t="s">
        <v>57</v>
      </c>
      <c r="P737" s="21" t="s">
        <v>57</v>
      </c>
      <c r="Q737" s="21"/>
      <c r="R737" s="21" t="s">
        <v>57</v>
      </c>
      <c r="S737" s="21" t="s">
        <v>57</v>
      </c>
      <c r="T737" s="21" t="s">
        <v>57</v>
      </c>
      <c r="U737" s="21" t="s">
        <v>57</v>
      </c>
      <c r="V737" s="21" t="s">
        <v>57</v>
      </c>
      <c r="W737" s="21"/>
      <c r="X737" s="21" t="s">
        <v>57</v>
      </c>
      <c r="Y737" s="21" t="s">
        <v>57</v>
      </c>
      <c r="Z737" s="21" t="s">
        <v>57</v>
      </c>
      <c r="AA737" s="21" t="s">
        <v>57</v>
      </c>
      <c r="AB737" s="21" t="s">
        <v>57</v>
      </c>
      <c r="AC737" s="21"/>
      <c r="AD737" s="21"/>
      <c r="AE737" s="25" t="s">
        <v>87</v>
      </c>
      <c r="AF737" s="34">
        <f>D642+D666+D679+D692</f>
        <v>3714.1689999999999</v>
      </c>
      <c r="AG737" s="34">
        <f>E642+E666+E679+E692</f>
        <v>0</v>
      </c>
      <c r="AH737" s="34">
        <f>F642+F666+F679+F692</f>
        <v>0</v>
      </c>
      <c r="AI737" s="34">
        <f t="shared" si="131"/>
        <v>0</v>
      </c>
      <c r="AJ737" s="3">
        <f>L642+L666+L679+L692</f>
        <v>0</v>
      </c>
      <c r="AK737" s="34">
        <f t="shared" si="132"/>
        <v>0</v>
      </c>
      <c r="AL737" s="34">
        <f>O642+O666+O679+O692</f>
        <v>288.36020000000002</v>
      </c>
      <c r="AM737" s="3">
        <f>P642+P666+P679+P692</f>
        <v>0</v>
      </c>
      <c r="AN737" s="34">
        <f t="shared" si="133"/>
        <v>288.36020000000002</v>
      </c>
      <c r="AO737" s="34">
        <f>V642+V666+V679+V692</f>
        <v>0</v>
      </c>
      <c r="AP737" s="34">
        <f t="shared" si="134"/>
        <v>288.36020000000002</v>
      </c>
      <c r="AQ737" s="34">
        <f t="shared" si="135"/>
        <v>288.36020000000002</v>
      </c>
      <c r="AR737" s="34">
        <f t="shared" si="130"/>
        <v>3425.8087999999998</v>
      </c>
      <c r="AS737" s="34">
        <f t="shared" si="127"/>
        <v>2750.652</v>
      </c>
    </row>
    <row r="738" spans="1:45" x14ac:dyDescent="0.2">
      <c r="A738" s="18"/>
      <c r="B738" s="9"/>
      <c r="D738" s="19">
        <f>SUM(D727:D736)</f>
        <v>276543.01714999997</v>
      </c>
      <c r="E738" s="19">
        <f>SUM(E727:E736)</f>
        <v>10387.764490000001</v>
      </c>
      <c r="F738" s="19">
        <f>SUM(F727:F736)</f>
        <v>0</v>
      </c>
      <c r="G738" s="19"/>
      <c r="H738" s="19">
        <f>SUM(H727:H736)</f>
        <v>67783.129150000008</v>
      </c>
      <c r="I738" s="19">
        <f>SUM(I727:I736)</f>
        <v>0</v>
      </c>
      <c r="J738" s="19">
        <f>SUM(J727:J736)</f>
        <v>0</v>
      </c>
      <c r="K738" s="19">
        <f>SUM(K727:K736)</f>
        <v>0</v>
      </c>
      <c r="L738" s="19">
        <f>SUM(L727:L736)</f>
        <v>0</v>
      </c>
      <c r="M738" s="19"/>
      <c r="N738" s="19">
        <f>SUM(N727:N736)</f>
        <v>10387.764490000001</v>
      </c>
      <c r="O738" s="19">
        <f>SUM(O727:O736)</f>
        <v>20644.925819999997</v>
      </c>
      <c r="P738" s="19">
        <f>SUM(P727:P736)</f>
        <v>0</v>
      </c>
      <c r="Q738" s="19"/>
      <c r="R738" s="19">
        <f>SUM(R727:R736)</f>
        <v>21270.855450000003</v>
      </c>
      <c r="S738" s="19">
        <f>SUM(S727:S736)</f>
        <v>0</v>
      </c>
      <c r="T738" s="19">
        <f>SUM(T727:T736)</f>
        <v>0</v>
      </c>
      <c r="U738" s="19">
        <f>SUM(U727:U736)</f>
        <v>0</v>
      </c>
      <c r="V738" s="19">
        <f>SUM(V727:V736)</f>
        <v>0</v>
      </c>
      <c r="W738" s="19"/>
      <c r="X738" s="19">
        <f>SUM(X727:X736)</f>
        <v>20644.925819999997</v>
      </c>
      <c r="Y738" s="19">
        <f>SUM(Y727:Y736)</f>
        <v>89053.984599999996</v>
      </c>
      <c r="Z738" s="19">
        <f>SUM(Z727:Z736)</f>
        <v>187489.03255</v>
      </c>
      <c r="AA738" s="19">
        <f>SUM(AA727:AA736)</f>
        <v>31032.690310000002</v>
      </c>
      <c r="AB738" s="19">
        <f>SUM(AB727:AB736)</f>
        <v>38114.963399999993</v>
      </c>
      <c r="AC738" s="19"/>
      <c r="AD738" s="19"/>
      <c r="AE738" s="25" t="s">
        <v>88</v>
      </c>
      <c r="AF738" s="34">
        <f>D641+D712+D722</f>
        <v>2766.3020000000001</v>
      </c>
      <c r="AG738" s="34">
        <f>E641+E712+E722</f>
        <v>0</v>
      </c>
      <c r="AH738" s="34">
        <f>F641+F712+F722</f>
        <v>0</v>
      </c>
      <c r="AI738" s="34">
        <f t="shared" si="131"/>
        <v>0</v>
      </c>
      <c r="AJ738" s="3">
        <f>L641+L712+L722</f>
        <v>0</v>
      </c>
      <c r="AK738" s="34">
        <f t="shared" si="132"/>
        <v>0</v>
      </c>
      <c r="AL738" s="34">
        <f>O641+O712+O722</f>
        <v>15.65</v>
      </c>
      <c r="AM738" s="3">
        <f>P641+P712+P722</f>
        <v>0</v>
      </c>
      <c r="AN738" s="34">
        <f t="shared" si="133"/>
        <v>15.65</v>
      </c>
      <c r="AO738" s="34">
        <f>V641+V712+V722</f>
        <v>0</v>
      </c>
      <c r="AP738" s="34">
        <f t="shared" si="134"/>
        <v>15.65</v>
      </c>
      <c r="AQ738" s="34">
        <f t="shared" si="135"/>
        <v>15.65</v>
      </c>
      <c r="AR738" s="34">
        <f t="shared" si="130"/>
        <v>2750.652</v>
      </c>
      <c r="AS738" s="34" t="e">
        <f t="shared" si="127"/>
        <v>#REF!</v>
      </c>
    </row>
    <row r="739" spans="1:45" x14ac:dyDescent="0.2">
      <c r="A739" s="18"/>
      <c r="D739" s="21" t="s">
        <v>57</v>
      </c>
      <c r="E739" s="21" t="s">
        <v>57</v>
      </c>
      <c r="F739" s="21" t="s">
        <v>57</v>
      </c>
      <c r="G739" s="21"/>
      <c r="H739" s="21" t="s">
        <v>57</v>
      </c>
      <c r="I739" s="21" t="s">
        <v>57</v>
      </c>
      <c r="J739" s="21" t="s">
        <v>57</v>
      </c>
      <c r="K739" s="21" t="s">
        <v>57</v>
      </c>
      <c r="L739" s="21" t="s">
        <v>57</v>
      </c>
      <c r="M739" s="21"/>
      <c r="N739" s="21" t="s">
        <v>57</v>
      </c>
      <c r="O739" s="21" t="s">
        <v>57</v>
      </c>
      <c r="P739" s="21" t="s">
        <v>57</v>
      </c>
      <c r="Q739" s="21"/>
      <c r="R739" s="21" t="s">
        <v>57</v>
      </c>
      <c r="S739" s="21" t="s">
        <v>57</v>
      </c>
      <c r="T739" s="21" t="s">
        <v>57</v>
      </c>
      <c r="U739" s="21" t="s">
        <v>57</v>
      </c>
      <c r="V739" s="21" t="s">
        <v>57</v>
      </c>
      <c r="W739" s="21"/>
      <c r="X739" s="21" t="s">
        <v>57</v>
      </c>
      <c r="Y739" s="21" t="s">
        <v>57</v>
      </c>
      <c r="Z739" s="21" t="s">
        <v>57</v>
      </c>
      <c r="AA739" s="21" t="s">
        <v>57</v>
      </c>
      <c r="AB739" s="21" t="s">
        <v>57</v>
      </c>
      <c r="AC739" s="21"/>
      <c r="AD739" s="21"/>
      <c r="AE739" s="25" t="s">
        <v>55</v>
      </c>
      <c r="AF739" s="34" t="e">
        <f>#REF!+D649+D661+D674</f>
        <v>#REF!</v>
      </c>
      <c r="AG739" s="34" t="e">
        <f>#REF!+E649+E661+E674</f>
        <v>#REF!</v>
      </c>
      <c r="AH739" s="34" t="e">
        <f>#REF!+F649+F661+F674</f>
        <v>#REF!</v>
      </c>
      <c r="AI739" s="34" t="e">
        <f t="shared" si="131"/>
        <v>#REF!</v>
      </c>
      <c r="AJ739" s="3" t="e">
        <f>#REF!+L649+L661+L674</f>
        <v>#REF!</v>
      </c>
      <c r="AK739" s="34" t="e">
        <f t="shared" si="132"/>
        <v>#REF!</v>
      </c>
      <c r="AL739" s="34" t="e">
        <f>#REF!+O649+O661+O674</f>
        <v>#REF!</v>
      </c>
      <c r="AM739" s="3" t="e">
        <f>#REF!+P649+P661+P674</f>
        <v>#REF!</v>
      </c>
      <c r="AN739" s="34" t="e">
        <f t="shared" si="133"/>
        <v>#REF!</v>
      </c>
      <c r="AO739" s="34" t="e">
        <f>#REF!+V649+V661+V674</f>
        <v>#REF!</v>
      </c>
      <c r="AP739" s="34" t="e">
        <f t="shared" si="134"/>
        <v>#REF!</v>
      </c>
      <c r="AQ739" s="34" t="e">
        <f t="shared" si="135"/>
        <v>#REF!</v>
      </c>
      <c r="AR739" s="34" t="e">
        <f t="shared" si="130"/>
        <v>#REF!</v>
      </c>
      <c r="AS739" s="34">
        <f>+AF743-AK743-AP743</f>
        <v>0</v>
      </c>
    </row>
    <row r="740" spans="1:45" x14ac:dyDescent="0.2">
      <c r="A740" s="18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3" t="s">
        <v>252</v>
      </c>
      <c r="Z740" s="21"/>
      <c r="AA740" s="21"/>
      <c r="AB740" s="21"/>
      <c r="AC740" s="21"/>
      <c r="AD740" s="21"/>
      <c r="AE740" s="25"/>
      <c r="AF740" s="34"/>
      <c r="AG740" s="34"/>
      <c r="AH740" s="34"/>
      <c r="AI740" s="34"/>
      <c r="AK740" s="34"/>
      <c r="AL740" s="34"/>
      <c r="AN740" s="34"/>
      <c r="AO740" s="34"/>
      <c r="AP740" s="34"/>
      <c r="AQ740" s="34"/>
      <c r="AR740" s="34"/>
      <c r="AS740" s="34"/>
    </row>
    <row r="741" spans="1:45" x14ac:dyDescent="0.2">
      <c r="A741" s="18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3" t="s">
        <v>253</v>
      </c>
      <c r="Z741" s="21"/>
      <c r="AA741" s="21"/>
      <c r="AB741" s="21"/>
      <c r="AC741" s="21"/>
      <c r="AD741" s="21"/>
      <c r="AE741" s="25"/>
      <c r="AF741" s="34"/>
      <c r="AG741" s="34"/>
      <c r="AH741" s="34"/>
      <c r="AI741" s="34"/>
      <c r="AK741" s="34"/>
      <c r="AL741" s="34"/>
      <c r="AN741" s="34"/>
      <c r="AO741" s="34"/>
      <c r="AP741" s="34"/>
      <c r="AQ741" s="34"/>
      <c r="AR741" s="34"/>
      <c r="AS741" s="34"/>
    </row>
    <row r="742" spans="1:45" x14ac:dyDescent="0.2">
      <c r="A742" s="18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5"/>
      <c r="AF742" s="34"/>
      <c r="AG742" s="34"/>
      <c r="AH742" s="34"/>
      <c r="AI742" s="34"/>
      <c r="AK742" s="34"/>
      <c r="AL742" s="34"/>
      <c r="AN742" s="34"/>
      <c r="AO742" s="34"/>
      <c r="AP742" s="34"/>
      <c r="AQ742" s="34"/>
      <c r="AR742" s="34"/>
      <c r="AS742" s="34"/>
    </row>
    <row r="743" spans="1:45" x14ac:dyDescent="0.2">
      <c r="A743" s="18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5" t="s">
        <v>201</v>
      </c>
      <c r="AF743" s="34">
        <f>+D625</f>
        <v>8523</v>
      </c>
      <c r="AG743" s="34">
        <f>+E625</f>
        <v>8523</v>
      </c>
      <c r="AH743" s="34">
        <f>+F625</f>
        <v>0</v>
      </c>
      <c r="AI743" s="34">
        <f t="shared" si="131"/>
        <v>8523</v>
      </c>
      <c r="AJ743" s="3">
        <f>+L625</f>
        <v>0</v>
      </c>
      <c r="AK743" s="34">
        <f t="shared" si="132"/>
        <v>8523</v>
      </c>
      <c r="AL743" s="34">
        <f>+O625</f>
        <v>0</v>
      </c>
      <c r="AM743" s="3">
        <f>+P625</f>
        <v>0</v>
      </c>
      <c r="AN743" s="34">
        <f t="shared" si="133"/>
        <v>0</v>
      </c>
      <c r="AO743" s="34">
        <f>+V625</f>
        <v>0</v>
      </c>
      <c r="AP743" s="34">
        <f t="shared" si="134"/>
        <v>0</v>
      </c>
      <c r="AQ743" s="34">
        <f t="shared" si="135"/>
        <v>8523</v>
      </c>
      <c r="AR743" s="34">
        <f t="shared" si="130"/>
        <v>0</v>
      </c>
    </row>
    <row r="744" spans="1:45" x14ac:dyDescent="0.2">
      <c r="A744" s="18">
        <v>55</v>
      </c>
      <c r="B744" s="17" t="s">
        <v>254</v>
      </c>
      <c r="C744" s="17" t="s">
        <v>51</v>
      </c>
      <c r="D744" s="19">
        <f>[1]TOBEPAID!D568/1000</f>
        <v>1276.3404800000001</v>
      </c>
      <c r="E744" s="19">
        <f>[1]TOBEPAID!E568/1000</f>
        <v>0</v>
      </c>
      <c r="F744" s="19">
        <f>[1]TOBEPAID!F568/1000</f>
        <v>0</v>
      </c>
      <c r="G744" s="19">
        <f>[1]TOBEPAID!G568/1000</f>
        <v>0</v>
      </c>
      <c r="H744" s="19">
        <v>0</v>
      </c>
      <c r="I744" s="19">
        <f>[1]TOBEPAID!I568/1000</f>
        <v>0</v>
      </c>
      <c r="J744" s="19">
        <f>[1]TOBEPAID!J568/1000</f>
        <v>0</v>
      </c>
      <c r="K744" s="19">
        <f>[1]TOBEPAID!K568/1000</f>
        <v>0</v>
      </c>
      <c r="L744" s="19">
        <f>[1]TOBEPAID!L568/1000</f>
        <v>0</v>
      </c>
      <c r="M744" s="19">
        <f>[1]TOBEPAID!M568/1000</f>
        <v>0</v>
      </c>
      <c r="N744" s="19">
        <f>[1]TOBEPAID!N568/1000</f>
        <v>0</v>
      </c>
      <c r="O744" s="19">
        <f>[1]TOBEPAID!O568/1000</f>
        <v>0</v>
      </c>
      <c r="P744" s="19">
        <f>[1]TOBEPAID!P568/1000</f>
        <v>0</v>
      </c>
      <c r="Q744" s="19">
        <f>[1]TOBEPAID!Q568/1000</f>
        <v>0</v>
      </c>
      <c r="R744" s="19">
        <f>165145/1000</f>
        <v>165.14500000000001</v>
      </c>
      <c r="S744" s="19">
        <f>[1]TOBEPAID!S568/1000</f>
        <v>0</v>
      </c>
      <c r="T744" s="19">
        <f>[1]TOBEPAID!T568/1000</f>
        <v>0</v>
      </c>
      <c r="U744" s="19">
        <f>[1]TOBEPAID!U568/1000</f>
        <v>0</v>
      </c>
      <c r="V744" s="19">
        <f>[1]TOBEPAID!V568/1000</f>
        <v>0</v>
      </c>
      <c r="W744" s="19">
        <f>[1]TOBEPAID!W568/1000</f>
        <v>0</v>
      </c>
      <c r="X744" s="19">
        <f>[1]TOBEPAID!X568/1000</f>
        <v>0</v>
      </c>
      <c r="Y744" s="19">
        <f>+H744+R744</f>
        <v>165.14500000000001</v>
      </c>
      <c r="Z744" s="19">
        <f>+D744-Y744</f>
        <v>1111.1954800000001</v>
      </c>
      <c r="AA744" s="19">
        <f>[1]TOBEPAID!AA568/1000</f>
        <v>0</v>
      </c>
      <c r="AB744" s="19">
        <f>[1]TOBEPAID!AB568/1000</f>
        <v>1276.3404800000001</v>
      </c>
      <c r="AC744" s="19"/>
      <c r="AD744" s="19"/>
      <c r="AE744" s="25" t="s">
        <v>199</v>
      </c>
      <c r="AS744" s="34" t="e">
        <f t="shared" ref="AS744:AS749" si="136">+AF745-AK745-AP745</f>
        <v>#REF!</v>
      </c>
    </row>
    <row r="745" spans="1:45" x14ac:dyDescent="0.2">
      <c r="C745" s="3" t="s">
        <v>62</v>
      </c>
      <c r="D745" s="19">
        <f>[1]TOBEPAID!D569/1000</f>
        <v>8000</v>
      </c>
      <c r="E745" s="19">
        <f>[1]TOBEPAID!E569/1000</f>
        <v>8000</v>
      </c>
      <c r="F745" s="19">
        <f>[1]TOBEPAID!F569/1000</f>
        <v>0</v>
      </c>
      <c r="G745" s="19">
        <f>[1]TOBEPAID!G569/1000</f>
        <v>0</v>
      </c>
      <c r="H745" s="19">
        <f>8000000/1000</f>
        <v>8000</v>
      </c>
      <c r="I745" s="19">
        <f>[1]TOBEPAID!I569/1000</f>
        <v>0</v>
      </c>
      <c r="J745" s="19">
        <f>[1]TOBEPAID!J569/1000</f>
        <v>0</v>
      </c>
      <c r="K745" s="19">
        <f>[1]TOBEPAID!K569/1000</f>
        <v>0</v>
      </c>
      <c r="L745" s="19">
        <f>[1]TOBEPAID!L569/1000</f>
        <v>0</v>
      </c>
      <c r="M745" s="19">
        <f>[1]TOBEPAID!M569/1000</f>
        <v>0</v>
      </c>
      <c r="N745" s="19">
        <f>[1]TOBEPAID!N569/1000</f>
        <v>8000</v>
      </c>
      <c r="O745" s="19">
        <f>[1]TOBEPAID!O569/1000</f>
        <v>0</v>
      </c>
      <c r="P745" s="19">
        <f>[1]TOBEPAID!P569/1000</f>
        <v>0</v>
      </c>
      <c r="Q745" s="19">
        <f>[1]TOBEPAID!Q569/1000</f>
        <v>0</v>
      </c>
      <c r="R745" s="19">
        <f>[1]TOBEPAID!R569/1000</f>
        <v>0</v>
      </c>
      <c r="S745" s="19">
        <f>[1]TOBEPAID!S569/1000</f>
        <v>0</v>
      </c>
      <c r="T745" s="19">
        <f>[1]TOBEPAID!T569/1000</f>
        <v>0</v>
      </c>
      <c r="U745" s="19">
        <f>[1]TOBEPAID!U569/1000</f>
        <v>0</v>
      </c>
      <c r="V745" s="19">
        <f>[1]TOBEPAID!V569/1000</f>
        <v>0</v>
      </c>
      <c r="W745" s="19">
        <f>[1]TOBEPAID!W569/1000</f>
        <v>0</v>
      </c>
      <c r="X745" s="19">
        <f>[1]TOBEPAID!X569/1000</f>
        <v>0</v>
      </c>
      <c r="Y745" s="19">
        <f>+H745+R745</f>
        <v>8000</v>
      </c>
      <c r="Z745" s="19">
        <f>+D745-Y745</f>
        <v>0</v>
      </c>
      <c r="AA745" s="19">
        <f>[1]TOBEPAID!AA569/1000</f>
        <v>8000</v>
      </c>
      <c r="AB745" s="19">
        <f>[1]TOBEPAID!AB569/1000</f>
        <v>0</v>
      </c>
      <c r="AC745" s="19"/>
      <c r="AD745" s="19"/>
      <c r="AF745" s="34" t="e">
        <f>#REF!+D676</f>
        <v>#REF!</v>
      </c>
      <c r="AG745" s="34" t="e">
        <f>#REF!+E676</f>
        <v>#REF!</v>
      </c>
      <c r="AH745" s="34" t="e">
        <f>#REF!+F676</f>
        <v>#REF!</v>
      </c>
      <c r="AI745" s="34" t="e">
        <f t="shared" ref="AI745:AI750" si="137">+AG745+AH745</f>
        <v>#REF!</v>
      </c>
      <c r="AJ745" s="3" t="e">
        <f>#REF!+L676</f>
        <v>#REF!</v>
      </c>
      <c r="AK745" s="34" t="e">
        <f t="shared" ref="AK745:AK750" si="138">+AI745+AJ745</f>
        <v>#REF!</v>
      </c>
      <c r="AL745" s="34" t="e">
        <f>#REF!+O676</f>
        <v>#REF!</v>
      </c>
      <c r="AM745" s="3" t="e">
        <f>#REF!+P676</f>
        <v>#REF!</v>
      </c>
      <c r="AN745" s="34" t="e">
        <f t="shared" ref="AN745:AN750" si="139">+AL745+AM745</f>
        <v>#REF!</v>
      </c>
      <c r="AO745" s="34" t="e">
        <f>#REF!+V676</f>
        <v>#REF!</v>
      </c>
      <c r="AP745" s="34" t="e">
        <f t="shared" ref="AP745:AP750" si="140">+AN745+AO745</f>
        <v>#REF!</v>
      </c>
      <c r="AQ745" s="34" t="e">
        <f t="shared" ref="AQ745:AQ750" si="141">+AI745+AN745</f>
        <v>#REF!</v>
      </c>
      <c r="AR745" s="34" t="e">
        <f t="shared" ref="AR745:AR750" si="142">+AF745-AQ745</f>
        <v>#REF!</v>
      </c>
      <c r="AS745" s="34">
        <f t="shared" si="136"/>
        <v>182.40899999999999</v>
      </c>
    </row>
    <row r="746" spans="1:45" x14ac:dyDescent="0.2">
      <c r="A746" s="18"/>
      <c r="C746" s="20" t="s">
        <v>52</v>
      </c>
      <c r="D746" s="19">
        <f>[1]TOBEPAID!D570/1000</f>
        <v>1280.9955199999999</v>
      </c>
      <c r="E746" s="19">
        <f>[1]TOBEPAID!E570/1000</f>
        <v>1280.9955199999999</v>
      </c>
      <c r="F746" s="19">
        <f>[1]TOBEPAID!F570/1000</f>
        <v>0</v>
      </c>
      <c r="G746" s="19">
        <f>[1]TOBEPAID!G570/1000</f>
        <v>0</v>
      </c>
      <c r="H746" s="19">
        <f>1280995/1000</f>
        <v>1280.9949999999999</v>
      </c>
      <c r="I746" s="19">
        <f>[1]TOBEPAID!I570/1000</f>
        <v>0</v>
      </c>
      <c r="J746" s="19">
        <f>[1]TOBEPAID!J570/1000</f>
        <v>0</v>
      </c>
      <c r="K746" s="19">
        <f>[1]TOBEPAID!K570/1000</f>
        <v>0</v>
      </c>
      <c r="L746" s="19">
        <f>[1]TOBEPAID!L570/1000</f>
        <v>0</v>
      </c>
      <c r="M746" s="19">
        <f>[1]TOBEPAID!M570/1000</f>
        <v>0</v>
      </c>
      <c r="N746" s="19">
        <f>[1]TOBEPAID!N570/1000</f>
        <v>1280.9955199999999</v>
      </c>
      <c r="O746" s="19">
        <f>[1]TOBEPAID!O570/1000</f>
        <v>0</v>
      </c>
      <c r="P746" s="19">
        <f>[1]TOBEPAID!P570/1000</f>
        <v>0</v>
      </c>
      <c r="Q746" s="19">
        <f>[1]TOBEPAID!Q570/1000</f>
        <v>0</v>
      </c>
      <c r="R746" s="19">
        <f>[1]TOBEPAID!R570/1000</f>
        <v>0</v>
      </c>
      <c r="S746" s="19">
        <f>[1]TOBEPAID!S570/1000</f>
        <v>0</v>
      </c>
      <c r="T746" s="19">
        <f>[1]TOBEPAID!T570/1000</f>
        <v>0</v>
      </c>
      <c r="U746" s="19">
        <f>[1]TOBEPAID!U570/1000</f>
        <v>0</v>
      </c>
      <c r="V746" s="19">
        <f>[1]TOBEPAID!V570/1000</f>
        <v>0</v>
      </c>
      <c r="W746" s="19">
        <f>[1]TOBEPAID!W570/1000</f>
        <v>0</v>
      </c>
      <c r="X746" s="19">
        <f>[1]TOBEPAID!X570/1000</f>
        <v>0</v>
      </c>
      <c r="Y746" s="19">
        <f>+H746+R746</f>
        <v>1280.9949999999999</v>
      </c>
      <c r="Z746" s="19">
        <f>+D746-Y746</f>
        <v>5.2000000005136826E-4</v>
      </c>
      <c r="AA746" s="19">
        <f>[1]TOBEPAID!AA570/1000</f>
        <v>1280.9955199999999</v>
      </c>
      <c r="AB746" s="19">
        <f>[1]TOBEPAID!AB570/1000</f>
        <v>0</v>
      </c>
      <c r="AC746" s="19"/>
      <c r="AD746" s="19"/>
      <c r="AE746" s="25" t="s">
        <v>170</v>
      </c>
      <c r="AF746" s="34">
        <f>+D720</f>
        <v>182.40899999999999</v>
      </c>
      <c r="AG746" s="34">
        <f>+E720</f>
        <v>0</v>
      </c>
      <c r="AH746" s="34">
        <f>+F720</f>
        <v>0</v>
      </c>
      <c r="AI746" s="34">
        <f t="shared" si="137"/>
        <v>0</v>
      </c>
      <c r="AJ746" s="3">
        <f>+L720</f>
        <v>0</v>
      </c>
      <c r="AK746" s="34">
        <f t="shared" si="138"/>
        <v>0</v>
      </c>
      <c r="AL746" s="34">
        <f>+O720</f>
        <v>0</v>
      </c>
      <c r="AM746" s="3">
        <f>+P720</f>
        <v>0</v>
      </c>
      <c r="AN746" s="34">
        <f t="shared" si="139"/>
        <v>0</v>
      </c>
      <c r="AO746" s="34">
        <f>+V720</f>
        <v>0</v>
      </c>
      <c r="AP746" s="34">
        <f t="shared" si="140"/>
        <v>0</v>
      </c>
      <c r="AQ746" s="34">
        <f t="shared" si="141"/>
        <v>0</v>
      </c>
      <c r="AR746" s="34">
        <f t="shared" si="142"/>
        <v>182.40899999999999</v>
      </c>
      <c r="AS746" s="34">
        <f t="shared" si="136"/>
        <v>3321.0476699999995</v>
      </c>
    </row>
    <row r="747" spans="1:45" x14ac:dyDescent="0.2">
      <c r="A747" s="18"/>
      <c r="C747" s="17" t="s">
        <v>200</v>
      </c>
      <c r="D747" s="19">
        <f>[1]TOBEPAID!D571/1000</f>
        <v>2679.52169</v>
      </c>
      <c r="E747" s="19">
        <f>[1]TOBEPAID!E571/1000</f>
        <v>0</v>
      </c>
      <c r="F747" s="19">
        <f>[1]TOBEPAID!F571/1000</f>
        <v>0</v>
      </c>
      <c r="G747" s="19">
        <f>[1]TOBEPAID!G571/1000</f>
        <v>0</v>
      </c>
      <c r="H747" s="19">
        <v>0</v>
      </c>
      <c r="I747" s="19">
        <f>[1]TOBEPAID!I571/1000</f>
        <v>0</v>
      </c>
      <c r="J747" s="19">
        <f>[1]TOBEPAID!J571/1000</f>
        <v>0</v>
      </c>
      <c r="K747" s="19">
        <f>[1]TOBEPAID!K571/1000</f>
        <v>0</v>
      </c>
      <c r="L747" s="19">
        <f>[1]TOBEPAID!L571/1000</f>
        <v>0</v>
      </c>
      <c r="M747" s="19">
        <f>[1]TOBEPAID!M571/1000</f>
        <v>0</v>
      </c>
      <c r="N747" s="19">
        <f>[1]TOBEPAID!N571/1000</f>
        <v>0</v>
      </c>
      <c r="O747" s="19">
        <f>[1]TOBEPAID!O571/1000</f>
        <v>0</v>
      </c>
      <c r="P747" s="19">
        <f>[1]TOBEPAID!P571/1000</f>
        <v>0</v>
      </c>
      <c r="Q747" s="19">
        <f>[1]TOBEPAID!Q571/1000</f>
        <v>0</v>
      </c>
      <c r="R747" s="19">
        <f>[1]TOBEPAID!R571/1000</f>
        <v>0</v>
      </c>
      <c r="S747" s="19">
        <f>[1]TOBEPAID!S571/1000</f>
        <v>0</v>
      </c>
      <c r="T747" s="19">
        <f>[1]TOBEPAID!T571/1000</f>
        <v>0</v>
      </c>
      <c r="U747" s="19">
        <f>[1]TOBEPAID!U571/1000</f>
        <v>0</v>
      </c>
      <c r="V747" s="19">
        <f>[1]TOBEPAID!V571/1000</f>
        <v>0</v>
      </c>
      <c r="W747" s="19">
        <f>[1]TOBEPAID!W571/1000</f>
        <v>0</v>
      </c>
      <c r="X747" s="19">
        <f>[1]TOBEPAID!X571/1000</f>
        <v>0</v>
      </c>
      <c r="Y747" s="19">
        <f>+H747+R747</f>
        <v>0</v>
      </c>
      <c r="Z747" s="19">
        <f>+D747-Y747</f>
        <v>2679.52169</v>
      </c>
      <c r="AA747" s="19">
        <f>[1]TOBEPAID!AA571/1000</f>
        <v>0</v>
      </c>
      <c r="AB747" s="19">
        <f>[1]TOBEPAID!AB571/1000</f>
        <v>2679.52169</v>
      </c>
      <c r="AC747" s="19"/>
      <c r="AD747" s="19"/>
      <c r="AE747" s="25" t="s">
        <v>255</v>
      </c>
      <c r="AF747" s="34">
        <f>+D654</f>
        <v>10000</v>
      </c>
      <c r="AG747" s="34">
        <f>+E654</f>
        <v>5843.7300300000006</v>
      </c>
      <c r="AH747" s="34">
        <f>+F654</f>
        <v>0</v>
      </c>
      <c r="AI747" s="34">
        <f t="shared" si="137"/>
        <v>5843.7300300000006</v>
      </c>
      <c r="AJ747" s="3">
        <f>+L654</f>
        <v>0</v>
      </c>
      <c r="AK747" s="34">
        <f t="shared" si="138"/>
        <v>5843.7300300000006</v>
      </c>
      <c r="AL747" s="34">
        <f>+O654</f>
        <v>835.22230000000002</v>
      </c>
      <c r="AM747" s="3">
        <f>+P654</f>
        <v>0</v>
      </c>
      <c r="AN747" s="34">
        <f t="shared" si="139"/>
        <v>835.22230000000002</v>
      </c>
      <c r="AO747" s="34">
        <f>+V654</f>
        <v>0</v>
      </c>
      <c r="AP747" s="34">
        <f t="shared" si="140"/>
        <v>835.22230000000002</v>
      </c>
      <c r="AQ747" s="34">
        <f t="shared" si="141"/>
        <v>6678.952330000001</v>
      </c>
      <c r="AR747" s="34">
        <f t="shared" si="142"/>
        <v>3321.047669999999</v>
      </c>
      <c r="AS747" s="34">
        <f t="shared" si="136"/>
        <v>38035.162880000003</v>
      </c>
    </row>
    <row r="748" spans="1:45" x14ac:dyDescent="0.2">
      <c r="A748" s="18"/>
      <c r="D748" s="21" t="s">
        <v>57</v>
      </c>
      <c r="E748" s="21" t="s">
        <v>57</v>
      </c>
      <c r="F748" s="21" t="s">
        <v>57</v>
      </c>
      <c r="G748" s="21"/>
      <c r="H748" s="21" t="s">
        <v>57</v>
      </c>
      <c r="I748" s="21" t="s">
        <v>57</v>
      </c>
      <c r="J748" s="21" t="s">
        <v>57</v>
      </c>
      <c r="K748" s="21" t="s">
        <v>57</v>
      </c>
      <c r="L748" s="21" t="s">
        <v>57</v>
      </c>
      <c r="M748" s="21"/>
      <c r="N748" s="21" t="s">
        <v>57</v>
      </c>
      <c r="O748" s="21" t="s">
        <v>57</v>
      </c>
      <c r="P748" s="21" t="s">
        <v>57</v>
      </c>
      <c r="Q748" s="21"/>
      <c r="R748" s="21" t="s">
        <v>57</v>
      </c>
      <c r="S748" s="21" t="s">
        <v>57</v>
      </c>
      <c r="T748" s="21" t="s">
        <v>57</v>
      </c>
      <c r="U748" s="21" t="s">
        <v>57</v>
      </c>
      <c r="V748" s="21" t="s">
        <v>57</v>
      </c>
      <c r="W748" s="21"/>
      <c r="X748" s="21" t="s">
        <v>57</v>
      </c>
      <c r="Y748" s="21" t="s">
        <v>57</v>
      </c>
      <c r="Z748" s="21" t="s">
        <v>57</v>
      </c>
      <c r="AA748" s="21" t="s">
        <v>57</v>
      </c>
      <c r="AB748" s="21" t="s">
        <v>57</v>
      </c>
      <c r="AC748" s="21"/>
      <c r="AD748" s="21"/>
      <c r="AE748" s="25" t="s">
        <v>256</v>
      </c>
      <c r="AF748" s="34">
        <f>D700+D708+D735</f>
        <v>58362.307590000004</v>
      </c>
      <c r="AG748" s="34">
        <f>E700+E708+E735</f>
        <v>0</v>
      </c>
      <c r="AH748" s="34">
        <f>F700+F708+F735</f>
        <v>0</v>
      </c>
      <c r="AI748" s="34">
        <f t="shared" si="137"/>
        <v>0</v>
      </c>
      <c r="AJ748" s="3">
        <f>L700+L708+L735</f>
        <v>0</v>
      </c>
      <c r="AK748" s="34">
        <f t="shared" si="138"/>
        <v>0</v>
      </c>
      <c r="AL748" s="34">
        <f>O700+O708+O735</f>
        <v>20327.14471</v>
      </c>
      <c r="AM748" s="3">
        <f>P700+P708+P735</f>
        <v>0</v>
      </c>
      <c r="AN748" s="34">
        <f t="shared" si="139"/>
        <v>20327.14471</v>
      </c>
      <c r="AO748" s="34">
        <f>V700+V708+V735</f>
        <v>0</v>
      </c>
      <c r="AP748" s="34">
        <f t="shared" si="140"/>
        <v>20327.14471</v>
      </c>
      <c r="AQ748" s="34">
        <f t="shared" si="141"/>
        <v>20327.14471</v>
      </c>
      <c r="AR748" s="34">
        <f t="shared" si="142"/>
        <v>38035.162880000003</v>
      </c>
      <c r="AS748" s="34">
        <f t="shared" si="136"/>
        <v>-8.2999999722233042E-4</v>
      </c>
    </row>
    <row r="749" spans="1:45" x14ac:dyDescent="0.2">
      <c r="A749" s="18"/>
      <c r="D749" s="19">
        <f>SUM(D744:D747)</f>
        <v>13236.857690000001</v>
      </c>
      <c r="E749" s="19">
        <f>SUM(E744:E747)</f>
        <v>9280.9955200000004</v>
      </c>
      <c r="F749" s="19">
        <f>SUM(F744:F747)</f>
        <v>0</v>
      </c>
      <c r="G749" s="19"/>
      <c r="H749" s="19">
        <f>SUM(H744:H747)</f>
        <v>9280.994999999999</v>
      </c>
      <c r="I749" s="19">
        <f>SUM(I744:I747)</f>
        <v>0</v>
      </c>
      <c r="J749" s="19">
        <f>SUM(J744:J747)</f>
        <v>0</v>
      </c>
      <c r="K749" s="19">
        <f>SUM(K744:K747)</f>
        <v>0</v>
      </c>
      <c r="L749" s="19">
        <f>SUM(L744:L747)</f>
        <v>0</v>
      </c>
      <c r="M749" s="19"/>
      <c r="N749" s="19">
        <f>SUM(N744:N747)</f>
        <v>9280.9955200000004</v>
      </c>
      <c r="O749" s="19">
        <f>SUM(O744:O747)</f>
        <v>0</v>
      </c>
      <c r="P749" s="19">
        <f>SUM(P744:P747)</f>
        <v>0</v>
      </c>
      <c r="Q749" s="19"/>
      <c r="R749" s="19">
        <f>SUM(R744:R747)</f>
        <v>165.14500000000001</v>
      </c>
      <c r="S749" s="19">
        <f>SUM(S744:S747)</f>
        <v>0</v>
      </c>
      <c r="T749" s="19">
        <f>SUM(T744:T747)</f>
        <v>0</v>
      </c>
      <c r="U749" s="19">
        <f>SUM(U744:U747)</f>
        <v>0</v>
      </c>
      <c r="V749" s="19">
        <f>SUM(V744:V747)</f>
        <v>0</v>
      </c>
      <c r="W749" s="19"/>
      <c r="X749" s="19">
        <f>SUM(X744:X747)</f>
        <v>0</v>
      </c>
      <c r="Y749" s="19">
        <f>SUM(Y744:Y747)</f>
        <v>9446.14</v>
      </c>
      <c r="Z749" s="19">
        <f>SUM(Z744:Z747)</f>
        <v>3790.7176900000004</v>
      </c>
      <c r="AA749" s="19">
        <f>SUM(AA744:AA747)</f>
        <v>9280.9955200000004</v>
      </c>
      <c r="AB749" s="19">
        <f>SUM(AB744:AB747)</f>
        <v>3955.8621700000003</v>
      </c>
      <c r="AC749" s="19"/>
      <c r="AD749" s="19"/>
      <c r="AE749" s="25" t="s">
        <v>96</v>
      </c>
      <c r="AF749" s="34">
        <f>D701+D713+D736</f>
        <v>37792.202230000003</v>
      </c>
      <c r="AG749" s="34">
        <f>E701+E713+E736</f>
        <v>0</v>
      </c>
      <c r="AH749" s="34">
        <f>F701+F713+F736</f>
        <v>0</v>
      </c>
      <c r="AI749" s="34">
        <f t="shared" si="137"/>
        <v>0</v>
      </c>
      <c r="AJ749" s="3">
        <f>L701+L713+L736</f>
        <v>0</v>
      </c>
      <c r="AK749" s="34">
        <f t="shared" si="138"/>
        <v>0</v>
      </c>
      <c r="AL749" s="34">
        <f>O701+O713+O736</f>
        <v>37792.20306</v>
      </c>
      <c r="AM749" s="3">
        <f>P701+P713+P736</f>
        <v>0</v>
      </c>
      <c r="AN749" s="34">
        <f t="shared" si="139"/>
        <v>37792.20306</v>
      </c>
      <c r="AO749" s="34">
        <f>V701+V713+V736</f>
        <v>0</v>
      </c>
      <c r="AP749" s="34">
        <f t="shared" si="140"/>
        <v>37792.20306</v>
      </c>
      <c r="AQ749" s="34">
        <f t="shared" si="141"/>
        <v>37792.20306</v>
      </c>
      <c r="AR749" s="34">
        <f t="shared" si="142"/>
        <v>-8.2999999722233042E-4</v>
      </c>
      <c r="AS749" s="34">
        <f t="shared" si="136"/>
        <v>2679.52169</v>
      </c>
    </row>
    <row r="750" spans="1:45" x14ac:dyDescent="0.2">
      <c r="A750" s="18"/>
      <c r="D750" s="21" t="s">
        <v>57</v>
      </c>
      <c r="E750" s="21" t="s">
        <v>57</v>
      </c>
      <c r="F750" s="21" t="s">
        <v>57</v>
      </c>
      <c r="G750" s="21"/>
      <c r="H750" s="21" t="s">
        <v>57</v>
      </c>
      <c r="I750" s="21" t="s">
        <v>57</v>
      </c>
      <c r="J750" s="21" t="s">
        <v>57</v>
      </c>
      <c r="K750" s="21" t="s">
        <v>57</v>
      </c>
      <c r="L750" s="21" t="s">
        <v>57</v>
      </c>
      <c r="M750" s="21"/>
      <c r="N750" s="21" t="s">
        <v>57</v>
      </c>
      <c r="O750" s="21" t="s">
        <v>57</v>
      </c>
      <c r="P750" s="21" t="s">
        <v>57</v>
      </c>
      <c r="Q750" s="21"/>
      <c r="R750" s="21" t="s">
        <v>57</v>
      </c>
      <c r="S750" s="21" t="s">
        <v>57</v>
      </c>
      <c r="T750" s="21" t="s">
        <v>57</v>
      </c>
      <c r="U750" s="21" t="s">
        <v>57</v>
      </c>
      <c r="V750" s="21" t="s">
        <v>57</v>
      </c>
      <c r="W750" s="21"/>
      <c r="X750" s="21" t="s">
        <v>57</v>
      </c>
      <c r="Y750" s="21" t="s">
        <v>57</v>
      </c>
      <c r="Z750" s="21" t="s">
        <v>57</v>
      </c>
      <c r="AA750" s="21" t="s">
        <v>57</v>
      </c>
      <c r="AB750" s="21" t="s">
        <v>57</v>
      </c>
      <c r="AC750" s="21"/>
      <c r="AD750" s="21"/>
      <c r="AE750" s="25" t="s">
        <v>97</v>
      </c>
      <c r="AF750" s="34">
        <f>D634+D747</f>
        <v>2679.52169</v>
      </c>
      <c r="AG750" s="34">
        <f>E634+E747</f>
        <v>0</v>
      </c>
      <c r="AH750" s="34">
        <f>F634+F747</f>
        <v>0</v>
      </c>
      <c r="AI750" s="34">
        <f t="shared" si="137"/>
        <v>0</v>
      </c>
      <c r="AJ750" s="3">
        <f>L634+L747</f>
        <v>0</v>
      </c>
      <c r="AK750" s="34">
        <f t="shared" si="138"/>
        <v>0</v>
      </c>
      <c r="AL750" s="34">
        <f>O634+O747</f>
        <v>0</v>
      </c>
      <c r="AM750" s="3">
        <f>P634+P747</f>
        <v>0</v>
      </c>
      <c r="AN750" s="34">
        <f t="shared" si="139"/>
        <v>0</v>
      </c>
      <c r="AO750" s="34">
        <f>V634+V747</f>
        <v>0</v>
      </c>
      <c r="AP750" s="34">
        <f t="shared" si="140"/>
        <v>0</v>
      </c>
      <c r="AQ750" s="34">
        <f t="shared" si="141"/>
        <v>0</v>
      </c>
      <c r="AR750" s="34">
        <f t="shared" si="142"/>
        <v>2679.52169</v>
      </c>
      <c r="AS750" s="34" t="e">
        <f>SUM(AS725:AS749)</f>
        <v>#REF!</v>
      </c>
    </row>
    <row r="751" spans="1:45" x14ac:dyDescent="0.2">
      <c r="A751" s="18"/>
      <c r="C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5" t="s">
        <v>202</v>
      </c>
      <c r="AF751" s="34" t="e">
        <f t="shared" ref="AF751:AR751" si="143">SUM(AF726:AF750)</f>
        <v>#REF!</v>
      </c>
      <c r="AG751" s="34" t="e">
        <f t="shared" si="143"/>
        <v>#REF!</v>
      </c>
      <c r="AH751" s="34" t="e">
        <f t="shared" si="143"/>
        <v>#REF!</v>
      </c>
      <c r="AI751" s="34" t="e">
        <f t="shared" si="143"/>
        <v>#REF!</v>
      </c>
      <c r="AJ751" s="34" t="e">
        <f t="shared" si="143"/>
        <v>#REF!</v>
      </c>
      <c r="AK751" s="34" t="e">
        <f t="shared" si="143"/>
        <v>#REF!</v>
      </c>
      <c r="AL751" s="34" t="e">
        <f t="shared" si="143"/>
        <v>#REF!</v>
      </c>
      <c r="AM751" s="34" t="e">
        <f t="shared" si="143"/>
        <v>#REF!</v>
      </c>
      <c r="AN751" s="34" t="e">
        <f t="shared" si="143"/>
        <v>#REF!</v>
      </c>
      <c r="AO751" s="34" t="e">
        <f t="shared" si="143"/>
        <v>#REF!</v>
      </c>
      <c r="AP751" s="34" t="e">
        <f t="shared" si="143"/>
        <v>#REF!</v>
      </c>
      <c r="AQ751" s="34" t="e">
        <f t="shared" si="143"/>
        <v>#REF!</v>
      </c>
      <c r="AR751" s="34" t="e">
        <f t="shared" si="143"/>
        <v>#REF!</v>
      </c>
    </row>
    <row r="752" spans="1:45" x14ac:dyDescent="0.2">
      <c r="A752" s="18"/>
      <c r="B752" s="8" t="s">
        <v>29</v>
      </c>
      <c r="C752" s="17" t="s">
        <v>232</v>
      </c>
      <c r="D752" s="19">
        <f>D629+D644+D656+D668+D681+D694+D703+D715+D724+D738+D749</f>
        <v>1965467.7019700001</v>
      </c>
      <c r="E752" s="19" t="e">
        <f>E749+E738+E724+E715+E703+E694+E681+E668+E656+E644+#REF!+#REF!+E629</f>
        <v>#REF!</v>
      </c>
      <c r="F752" s="19" t="e">
        <f>F749+F738+F724+F715+F703+F694+F681+F668+F656+F644+#REF!+#REF!+F629</f>
        <v>#REF!</v>
      </c>
      <c r="G752" s="19"/>
      <c r="H752" s="19">
        <f>H629+H644+H656+H668+H681+H694+H703+H715+H724+H738+H749</f>
        <v>1236051.50333</v>
      </c>
      <c r="I752" s="19" t="e">
        <f>I749+I738+I724+I715+I703+I694+I681+I668+I656+I644+#REF!+#REF!+I629</f>
        <v>#REF!</v>
      </c>
      <c r="J752" s="19" t="e">
        <f>J749+J738+J724+J715+J703+J694+J681+J668+J656+J644+#REF!+#REF!+J629</f>
        <v>#REF!</v>
      </c>
      <c r="K752" s="19" t="e">
        <f>K749+K738+K724+K715+K703+K694+K681+K668+K656+K644+#REF!+#REF!+K629</f>
        <v>#REF!</v>
      </c>
      <c r="L752" s="19" t="e">
        <f>L749+L738+L724+L715+L703+L694+L681+L668+L656+L644+#REF!+#REF!+L629</f>
        <v>#REF!</v>
      </c>
      <c r="M752" s="19"/>
      <c r="N752" s="19" t="e">
        <f>N749+N738+N724+N715+N703+N694+N681+N668+N656+N644+#REF!+#REF!+N629</f>
        <v>#REF!</v>
      </c>
      <c r="O752" s="19" t="e">
        <f>O749+O738+O724+O715+O703+O694+O681+O668+O656+O644+#REF!+#REF!+O629</f>
        <v>#REF!</v>
      </c>
      <c r="P752" s="19" t="e">
        <f>P749+P738+P724+P715+P703+P694+P681+P668+P656+P644+#REF!+#REF!+P629</f>
        <v>#REF!</v>
      </c>
      <c r="Q752" s="19"/>
      <c r="R752" s="19">
        <f>R629+R644+R656+R668+R681+R694+R703+R715+R724+R738+R749</f>
        <v>130531.24608</v>
      </c>
      <c r="S752" s="19" t="e">
        <f>S749+S738+S724+S715+S703+S694+S681+S668+S656+S644+#REF!+#REF!+S629</f>
        <v>#REF!</v>
      </c>
      <c r="T752" s="19" t="e">
        <f>T749+T738+T724+T715+T703+T694+T681+T668+T656+T644+#REF!+#REF!+T629</f>
        <v>#REF!</v>
      </c>
      <c r="U752" s="19" t="e">
        <f>U749+U738+U724+U715+U703+U694+U681+U668+U656+U644+#REF!+#REF!+U629</f>
        <v>#REF!</v>
      </c>
      <c r="V752" s="19" t="e">
        <f>V749+V738+V724+V715+V703+V694+V681+V668+V656+V644+#REF!+#REF!+V629</f>
        <v>#REF!</v>
      </c>
      <c r="W752" s="19"/>
      <c r="X752" s="19" t="e">
        <f>X749+X738+X724+X715+X703+X694+X681+X668+X656+X644+#REF!+#REF!+X629</f>
        <v>#REF!</v>
      </c>
      <c r="Y752" s="19">
        <f>Y629+Y644+Y656+Y668+Y681+Y694+Y703+Y715+Y724+Y738+Y749</f>
        <v>1366582.75003</v>
      </c>
      <c r="Z752" s="19">
        <f>Z629+Z644+Z656+Z668+Z681+Z694+Z703+Z715+Z724+Z738+Z749</f>
        <v>598884.95256000001</v>
      </c>
      <c r="AA752" s="19" t="e">
        <f>AA749+AA738+AA724+AA715+AA703+AA694+AA681+AA668+AA656+AA644+#REF!+#REF!+AA629</f>
        <v>#REF!</v>
      </c>
      <c r="AB752" s="19" t="e">
        <f>AB749+AB738+AB724+AB715+AB703+AB694+AB681+AB668+AB656+AB644+#REF!+#REF!+AB629</f>
        <v>#REF!</v>
      </c>
      <c r="AC752" s="19"/>
      <c r="AD752" s="19"/>
      <c r="AS752" s="3" t="e">
        <f>+AB752-AS750</f>
        <v>#REF!</v>
      </c>
    </row>
    <row r="753" spans="1:30" x14ac:dyDescent="0.2">
      <c r="A753" s="18"/>
      <c r="D753" s="21" t="s">
        <v>93</v>
      </c>
      <c r="E753" s="21" t="s">
        <v>93</v>
      </c>
      <c r="F753" s="21" t="s">
        <v>93</v>
      </c>
      <c r="G753" s="21"/>
      <c r="H753" s="21" t="s">
        <v>93</v>
      </c>
      <c r="I753" s="21" t="s">
        <v>93</v>
      </c>
      <c r="J753" s="21" t="s">
        <v>93</v>
      </c>
      <c r="K753" s="21" t="s">
        <v>93</v>
      </c>
      <c r="L753" s="21" t="s">
        <v>93</v>
      </c>
      <c r="M753" s="21"/>
      <c r="N753" s="21" t="s">
        <v>93</v>
      </c>
      <c r="O753" s="21" t="s">
        <v>93</v>
      </c>
      <c r="P753" s="21" t="s">
        <v>93</v>
      </c>
      <c r="Q753" s="21"/>
      <c r="R753" s="21" t="s">
        <v>93</v>
      </c>
      <c r="S753" s="21" t="s">
        <v>93</v>
      </c>
      <c r="T753" s="21" t="s">
        <v>93</v>
      </c>
      <c r="U753" s="21" t="s">
        <v>93</v>
      </c>
      <c r="V753" s="21" t="s">
        <v>93</v>
      </c>
      <c r="W753" s="21"/>
      <c r="X753" s="21" t="s">
        <v>93</v>
      </c>
      <c r="Y753" s="21" t="s">
        <v>93</v>
      </c>
      <c r="Z753" s="21" t="s">
        <v>93</v>
      </c>
      <c r="AA753" s="21" t="s">
        <v>93</v>
      </c>
      <c r="AB753" s="21" t="s">
        <v>93</v>
      </c>
      <c r="AC753" s="21"/>
      <c r="AD753" s="21"/>
    </row>
    <row r="754" spans="1:30" x14ac:dyDescent="0.2">
      <c r="A754" s="18"/>
      <c r="C754" s="25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</row>
    <row r="755" spans="1:30" x14ac:dyDescent="0.2">
      <c r="A755" s="18"/>
      <c r="B755" s="3" t="s">
        <v>257</v>
      </c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</row>
    <row r="756" spans="1:30" x14ac:dyDescent="0.2">
      <c r="A756" s="18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</row>
    <row r="757" spans="1:30" x14ac:dyDescent="0.2">
      <c r="A757" s="18">
        <v>56</v>
      </c>
      <c r="B757" s="3" t="s">
        <v>258</v>
      </c>
      <c r="C757" s="17" t="s">
        <v>51</v>
      </c>
      <c r="D757" s="19">
        <f>39953505.83/1000</f>
        <v>39953.505829999995</v>
      </c>
      <c r="E757" s="19">
        <f>[1]TOBEPAID!E581/1000</f>
        <v>31075.446</v>
      </c>
      <c r="F757" s="19">
        <f>[1]TOBEPAID!F581/1000</f>
        <v>0</v>
      </c>
      <c r="G757" s="19">
        <f>[1]TOBEPAID!G581/1000</f>
        <v>0</v>
      </c>
      <c r="H757" s="19">
        <f>36749844/1000</f>
        <v>36749.843999999997</v>
      </c>
      <c r="I757" s="19">
        <f>[1]TOBEPAID!I581/1000</f>
        <v>0</v>
      </c>
      <c r="J757" s="19">
        <f>[1]TOBEPAID!J581/1000</f>
        <v>0</v>
      </c>
      <c r="K757" s="19">
        <f>[1]TOBEPAID!K581/1000</f>
        <v>0</v>
      </c>
      <c r="L757" s="19">
        <f>[1]TOBEPAID!L581/1000</f>
        <v>0</v>
      </c>
      <c r="M757" s="19">
        <f>[1]TOBEPAID!M581/1000</f>
        <v>0</v>
      </c>
      <c r="N757" s="19">
        <f>[1]TOBEPAID!N581/1000</f>
        <v>31075.446</v>
      </c>
      <c r="O757" s="19">
        <f>[1]TOBEPAID!O581/1000</f>
        <v>2818.2633600000004</v>
      </c>
      <c r="P757" s="19">
        <f>[1]TOBEPAID!P581/1000</f>
        <v>0</v>
      </c>
      <c r="Q757" s="19">
        <f>[1]TOBEPAID!Q581/1000</f>
        <v>0</v>
      </c>
      <c r="R757" s="19">
        <f>2818263/1000</f>
        <v>2818.2629999999999</v>
      </c>
      <c r="S757" s="19">
        <f>[1]TOBEPAID!S581/1000</f>
        <v>0</v>
      </c>
      <c r="T757" s="19">
        <f>[1]TOBEPAID!T581/1000</f>
        <v>0</v>
      </c>
      <c r="U757" s="19">
        <f>[1]TOBEPAID!U581/1000</f>
        <v>0</v>
      </c>
      <c r="V757" s="19">
        <f>[1]TOBEPAID!V581/1000</f>
        <v>0</v>
      </c>
      <c r="W757" s="19">
        <f>[1]TOBEPAID!W581/1000</f>
        <v>0</v>
      </c>
      <c r="X757" s="19">
        <f>[1]TOBEPAID!X581/1000</f>
        <v>2818.2633600000004</v>
      </c>
      <c r="Y757" s="19">
        <f>+H757+R757</f>
        <v>39568.106999999996</v>
      </c>
      <c r="Z757" s="19">
        <f t="shared" ref="Z757:Z773" si="144">+D757-Y757</f>
        <v>385.39882999999827</v>
      </c>
      <c r="AA757" s="19">
        <f>[1]TOBEPAID!AA581/1000</f>
        <v>33893.709360000001</v>
      </c>
      <c r="AB757" s="19">
        <f>[1]TOBEPAID!AB581/1000</f>
        <v>209.87651000000443</v>
      </c>
      <c r="AC757" s="19"/>
      <c r="AD757" s="19"/>
    </row>
    <row r="758" spans="1:30" x14ac:dyDescent="0.2">
      <c r="A758" s="18"/>
      <c r="C758" s="3" t="s">
        <v>52</v>
      </c>
      <c r="D758" s="19">
        <f>2118204/1000</f>
        <v>2118.2040000000002</v>
      </c>
      <c r="E758" s="19">
        <f>[1]TOBEPAID!E582/1000</f>
        <v>2118.2040000000002</v>
      </c>
      <c r="F758" s="19">
        <f>[1]TOBEPAID!F582/1000</f>
        <v>0</v>
      </c>
      <c r="G758" s="19">
        <f>[1]TOBEPAID!G582/1000</f>
        <v>0</v>
      </c>
      <c r="H758" s="19">
        <f>2118204/1000</f>
        <v>2118.2040000000002</v>
      </c>
      <c r="I758" s="19">
        <f>[1]TOBEPAID!I582/1000</f>
        <v>0</v>
      </c>
      <c r="J758" s="19">
        <f>[1]TOBEPAID!J582/1000</f>
        <v>0</v>
      </c>
      <c r="K758" s="19">
        <f>[1]TOBEPAID!K582/1000</f>
        <v>0</v>
      </c>
      <c r="L758" s="19">
        <f>[1]TOBEPAID!L582/1000</f>
        <v>0</v>
      </c>
      <c r="M758" s="19">
        <f>[1]TOBEPAID!M582/1000</f>
        <v>0</v>
      </c>
      <c r="N758" s="19">
        <f>[1]TOBEPAID!N582/1000</f>
        <v>2118.2040000000002</v>
      </c>
      <c r="O758" s="19">
        <f>[1]TOBEPAID!O582/1000</f>
        <v>0</v>
      </c>
      <c r="P758" s="19">
        <f>[1]TOBEPAID!P582/1000</f>
        <v>0</v>
      </c>
      <c r="Q758" s="19">
        <f>[1]TOBEPAID!Q582/1000</f>
        <v>0</v>
      </c>
      <c r="R758" s="19">
        <v>0</v>
      </c>
      <c r="S758" s="19">
        <f>[1]TOBEPAID!S582/1000</f>
        <v>0</v>
      </c>
      <c r="T758" s="19">
        <f>[1]TOBEPAID!T582/1000</f>
        <v>0</v>
      </c>
      <c r="U758" s="19">
        <f>[1]TOBEPAID!U582/1000</f>
        <v>0</v>
      </c>
      <c r="V758" s="19">
        <f>[1]TOBEPAID!V582/1000</f>
        <v>0</v>
      </c>
      <c r="W758" s="19">
        <f>[1]TOBEPAID!W582/1000</f>
        <v>0</v>
      </c>
      <c r="X758" s="19">
        <f>[1]TOBEPAID!X582/1000</f>
        <v>0</v>
      </c>
      <c r="Y758" s="19">
        <f t="shared" ref="Y758:Y772" si="145">+H758+R758</f>
        <v>2118.2040000000002</v>
      </c>
      <c r="Z758" s="19">
        <f t="shared" si="144"/>
        <v>0</v>
      </c>
      <c r="AA758" s="19">
        <f>[1]TOBEPAID!AA582/1000</f>
        <v>2118.2040000000002</v>
      </c>
      <c r="AB758" s="19">
        <f>[1]TOBEPAID!AB582/1000</f>
        <v>0</v>
      </c>
      <c r="AC758" s="19"/>
      <c r="AD758" s="19"/>
    </row>
    <row r="759" spans="1:30" x14ac:dyDescent="0.2">
      <c r="A759" s="18"/>
      <c r="C759" s="3" t="s">
        <v>210</v>
      </c>
      <c r="D759" s="19">
        <f>18394886/1000</f>
        <v>18394.885999999999</v>
      </c>
      <c r="E759" s="19"/>
      <c r="F759" s="19"/>
      <c r="G759" s="19"/>
      <c r="H759" s="19">
        <f>18394556/1000</f>
        <v>18394.556</v>
      </c>
      <c r="I759" s="19"/>
      <c r="J759" s="19"/>
      <c r="K759" s="19"/>
      <c r="L759" s="19"/>
      <c r="M759" s="19"/>
      <c r="N759" s="19"/>
      <c r="O759" s="19"/>
      <c r="P759" s="19"/>
      <c r="Q759" s="19"/>
      <c r="R759" s="19">
        <v>0</v>
      </c>
      <c r="S759" s="19"/>
      <c r="T759" s="19"/>
      <c r="U759" s="19"/>
      <c r="V759" s="19"/>
      <c r="W759" s="19"/>
      <c r="X759" s="19"/>
      <c r="Y759" s="19">
        <f>+H759+R759</f>
        <v>18394.556</v>
      </c>
      <c r="Z759" s="19">
        <f t="shared" si="144"/>
        <v>0.32999999999810825</v>
      </c>
      <c r="AA759" s="19"/>
      <c r="AB759" s="19"/>
      <c r="AC759" s="19"/>
      <c r="AD759" s="19"/>
    </row>
    <row r="760" spans="1:30" x14ac:dyDescent="0.2">
      <c r="A760" s="18"/>
      <c r="C760" s="3" t="s">
        <v>65</v>
      </c>
      <c r="D760" s="19">
        <f>11605113/1000</f>
        <v>11605.112999999999</v>
      </c>
      <c r="E760" s="19"/>
      <c r="F760" s="19"/>
      <c r="G760" s="19"/>
      <c r="H760" s="19">
        <f>11605113/1000</f>
        <v>11605.112999999999</v>
      </c>
      <c r="I760" s="19"/>
      <c r="J760" s="19"/>
      <c r="K760" s="19"/>
      <c r="L760" s="19"/>
      <c r="M760" s="19"/>
      <c r="N760" s="19"/>
      <c r="O760" s="19"/>
      <c r="P760" s="19"/>
      <c r="Q760" s="19"/>
      <c r="R760" s="19">
        <v>0</v>
      </c>
      <c r="S760" s="19"/>
      <c r="T760" s="19"/>
      <c r="U760" s="19"/>
      <c r="V760" s="19"/>
      <c r="W760" s="19"/>
      <c r="X760" s="19"/>
      <c r="Y760" s="19">
        <f>+H760+R760</f>
        <v>11605.112999999999</v>
      </c>
      <c r="Z760" s="19">
        <f t="shared" si="144"/>
        <v>0</v>
      </c>
      <c r="AA760" s="19"/>
      <c r="AB760" s="19"/>
      <c r="AC760" s="19"/>
      <c r="AD760" s="19"/>
    </row>
    <row r="761" spans="1:30" x14ac:dyDescent="0.2">
      <c r="C761" s="3" t="s">
        <v>197</v>
      </c>
      <c r="D761" s="19">
        <v>0</v>
      </c>
      <c r="E761" s="19">
        <f>[1]TOBEPAID!E583/1000</f>
        <v>34199.417729999994</v>
      </c>
      <c r="F761" s="19">
        <f>[1]TOBEPAID!F583/1000</f>
        <v>0</v>
      </c>
      <c r="G761" s="19">
        <f>[1]TOBEPAID!G583/1000</f>
        <v>0</v>
      </c>
      <c r="H761" s="19">
        <v>0</v>
      </c>
      <c r="I761" s="19">
        <f>[1]TOBEPAID!I583/1000</f>
        <v>0</v>
      </c>
      <c r="J761" s="19">
        <f>[1]TOBEPAID!J583/1000</f>
        <v>0</v>
      </c>
      <c r="K761" s="19">
        <f>[1]TOBEPAID!K583/1000</f>
        <v>0</v>
      </c>
      <c r="L761" s="19">
        <f>[1]TOBEPAID!L583/1000</f>
        <v>0</v>
      </c>
      <c r="M761" s="19">
        <f>[1]TOBEPAID!M583/1000</f>
        <v>0</v>
      </c>
      <c r="N761" s="19">
        <f>[1]TOBEPAID!N583/1000</f>
        <v>34199.417729999994</v>
      </c>
      <c r="O761" s="19">
        <f>[1]TOBEPAID!O583/1000</f>
        <v>0</v>
      </c>
      <c r="P761" s="19">
        <f>[1]TOBEPAID!P583/1000</f>
        <v>0</v>
      </c>
      <c r="Q761" s="19">
        <f>[1]TOBEPAID!Q583/1000</f>
        <v>0</v>
      </c>
      <c r="R761" s="19">
        <v>0</v>
      </c>
      <c r="S761" s="19">
        <f>[1]TOBEPAID!S583/1000</f>
        <v>0</v>
      </c>
      <c r="T761" s="19">
        <f>[1]TOBEPAID!T583/1000</f>
        <v>0</v>
      </c>
      <c r="U761" s="19">
        <f>[1]TOBEPAID!U583/1000</f>
        <v>0</v>
      </c>
      <c r="V761" s="19">
        <f>[1]TOBEPAID!V583/1000</f>
        <v>0</v>
      </c>
      <c r="W761" s="19">
        <f>[1]TOBEPAID!W583/1000</f>
        <v>0</v>
      </c>
      <c r="X761" s="19">
        <f>[1]TOBEPAID!X583/1000</f>
        <v>0</v>
      </c>
      <c r="Y761" s="19">
        <f t="shared" si="145"/>
        <v>0</v>
      </c>
      <c r="Z761" s="19">
        <f t="shared" si="144"/>
        <v>0</v>
      </c>
      <c r="AA761" s="19">
        <f>[1]TOBEPAID!AA583/1000</f>
        <v>34199.417729999994</v>
      </c>
      <c r="AB761" s="19">
        <f>[1]TOBEPAID!AB583/1000</f>
        <v>0</v>
      </c>
      <c r="AC761" s="19"/>
      <c r="AD761" s="19"/>
    </row>
    <row r="762" spans="1:30" x14ac:dyDescent="0.2">
      <c r="C762" s="3" t="s">
        <v>79</v>
      </c>
      <c r="D762" s="3">
        <f>3542454.5/1000</f>
        <v>3542.4544999999998</v>
      </c>
      <c r="H762" s="3">
        <f>3542454.5/1000</f>
        <v>3542.4544999999998</v>
      </c>
      <c r="R762" s="19">
        <v>0</v>
      </c>
      <c r="Y762" s="19">
        <f t="shared" si="145"/>
        <v>3542.4544999999998</v>
      </c>
      <c r="Z762" s="19">
        <f t="shared" si="144"/>
        <v>0</v>
      </c>
    </row>
    <row r="763" spans="1:30" x14ac:dyDescent="0.2">
      <c r="C763" s="3" t="s">
        <v>259</v>
      </c>
      <c r="D763" s="3">
        <f>48258532/1000</f>
        <v>48258.531999999999</v>
      </c>
      <c r="H763" s="3">
        <f>48258532/1000</f>
        <v>48258.531999999999</v>
      </c>
      <c r="R763" s="19">
        <v>0</v>
      </c>
      <c r="Y763" s="19">
        <f t="shared" si="145"/>
        <v>48258.531999999999</v>
      </c>
      <c r="Z763" s="19">
        <f t="shared" si="144"/>
        <v>0</v>
      </c>
    </row>
    <row r="764" spans="1:30" x14ac:dyDescent="0.2">
      <c r="C764" s="3" t="s">
        <v>62</v>
      </c>
      <c r="D764" s="19">
        <f>6732875.33/1000</f>
        <v>6732.8753299999998</v>
      </c>
      <c r="E764" s="19">
        <f>[1]TOBEPAID!E584/1000</f>
        <v>6732.8753299999998</v>
      </c>
      <c r="F764" s="19">
        <f>[1]TOBEPAID!F584/1000</f>
        <v>0</v>
      </c>
      <c r="G764" s="19">
        <f>[1]TOBEPAID!G584/1000</f>
        <v>0</v>
      </c>
      <c r="H764" s="19">
        <f>6732875.33/1000</f>
        <v>6732.8753299999998</v>
      </c>
      <c r="I764" s="19">
        <f>[1]TOBEPAID!I584/1000</f>
        <v>0</v>
      </c>
      <c r="J764" s="19">
        <f>[1]TOBEPAID!J584/1000</f>
        <v>0</v>
      </c>
      <c r="K764" s="19">
        <f>[1]TOBEPAID!K584/1000</f>
        <v>0</v>
      </c>
      <c r="L764" s="19">
        <f>[1]TOBEPAID!L584/1000</f>
        <v>0</v>
      </c>
      <c r="M764" s="19">
        <f>[1]TOBEPAID!M584/1000</f>
        <v>0</v>
      </c>
      <c r="N764" s="19">
        <f>[1]TOBEPAID!N584/1000</f>
        <v>6732.8753299999998</v>
      </c>
      <c r="O764" s="19">
        <f>[1]TOBEPAID!O584/1000</f>
        <v>0</v>
      </c>
      <c r="P764" s="19">
        <f>[1]TOBEPAID!P584/1000</f>
        <v>0</v>
      </c>
      <c r="Q764" s="19">
        <f>[1]TOBEPAID!Q584/1000</f>
        <v>0</v>
      </c>
      <c r="R764" s="19">
        <v>0</v>
      </c>
      <c r="S764" s="19">
        <f>[1]TOBEPAID!S584/1000</f>
        <v>0</v>
      </c>
      <c r="T764" s="19">
        <f>[1]TOBEPAID!T584/1000</f>
        <v>0</v>
      </c>
      <c r="U764" s="19">
        <f>[1]TOBEPAID!U584/1000</f>
        <v>0</v>
      </c>
      <c r="V764" s="19">
        <f>[1]TOBEPAID!V584/1000</f>
        <v>0</v>
      </c>
      <c r="W764" s="19">
        <f>[1]TOBEPAID!W584/1000</f>
        <v>0</v>
      </c>
      <c r="X764" s="19">
        <f>[1]TOBEPAID!X584/1000</f>
        <v>0</v>
      </c>
      <c r="Y764" s="19">
        <f t="shared" si="145"/>
        <v>6732.8753299999998</v>
      </c>
      <c r="Z764" s="19">
        <f t="shared" si="144"/>
        <v>0</v>
      </c>
      <c r="AA764" s="19">
        <f>[1]TOBEPAID!AA584/1000</f>
        <v>6732.8753299999998</v>
      </c>
      <c r="AB764" s="19">
        <f>[1]TOBEPAID!AB584/1000</f>
        <v>0</v>
      </c>
      <c r="AC764" s="19"/>
      <c r="AD764" s="19"/>
    </row>
    <row r="765" spans="1:30" x14ac:dyDescent="0.2">
      <c r="C765" s="3" t="s">
        <v>75</v>
      </c>
      <c r="D765" s="19">
        <f>5455832.77/1000</f>
        <v>5455.83277</v>
      </c>
      <c r="E765" s="19"/>
      <c r="F765" s="19"/>
      <c r="G765" s="19"/>
      <c r="H765" s="19">
        <f>5455832.77/1000</f>
        <v>5455.83277</v>
      </c>
      <c r="I765" s="19"/>
      <c r="J765" s="19"/>
      <c r="K765" s="19"/>
      <c r="L765" s="19"/>
      <c r="M765" s="19"/>
      <c r="N765" s="19"/>
      <c r="O765" s="19"/>
      <c r="P765" s="19"/>
      <c r="Q765" s="19"/>
      <c r="R765" s="19">
        <v>0</v>
      </c>
      <c r="S765" s="19"/>
      <c r="T765" s="19"/>
      <c r="U765" s="19"/>
      <c r="V765" s="19"/>
      <c r="W765" s="19"/>
      <c r="X765" s="19"/>
      <c r="Y765" s="19">
        <f t="shared" si="145"/>
        <v>5455.83277</v>
      </c>
      <c r="Z765" s="19">
        <f t="shared" si="144"/>
        <v>0</v>
      </c>
      <c r="AA765" s="19"/>
      <c r="AB765" s="19"/>
      <c r="AC765" s="19"/>
      <c r="AD765" s="19"/>
    </row>
    <row r="766" spans="1:30" x14ac:dyDescent="0.2">
      <c r="C766" s="3" t="s">
        <v>161</v>
      </c>
      <c r="D766" s="19">
        <f>3940546/1000</f>
        <v>3940.5459999999998</v>
      </c>
      <c r="E766" s="19"/>
      <c r="F766" s="19"/>
      <c r="G766" s="19"/>
      <c r="H766" s="19">
        <f>3940546/1000</f>
        <v>3940.5459999999998</v>
      </c>
      <c r="I766" s="19"/>
      <c r="J766" s="19"/>
      <c r="K766" s="19"/>
      <c r="L766" s="19"/>
      <c r="M766" s="19"/>
      <c r="N766" s="19"/>
      <c r="O766" s="19"/>
      <c r="P766" s="19"/>
      <c r="Q766" s="19"/>
      <c r="R766" s="19">
        <v>0</v>
      </c>
      <c r="S766" s="19"/>
      <c r="T766" s="19"/>
      <c r="U766" s="19"/>
      <c r="V766" s="19"/>
      <c r="W766" s="19"/>
      <c r="X766" s="19"/>
      <c r="Y766" s="19">
        <f t="shared" si="145"/>
        <v>3940.5459999999998</v>
      </c>
      <c r="Z766" s="19">
        <f t="shared" si="144"/>
        <v>0</v>
      </c>
      <c r="AA766" s="19"/>
      <c r="AB766" s="19"/>
      <c r="AC766" s="19"/>
      <c r="AD766" s="19"/>
    </row>
    <row r="767" spans="1:30" x14ac:dyDescent="0.2">
      <c r="C767" s="3" t="s">
        <v>76</v>
      </c>
      <c r="D767" s="19">
        <f>8059304/1000</f>
        <v>8059.3040000000001</v>
      </c>
      <c r="E767" s="19"/>
      <c r="F767" s="19"/>
      <c r="G767" s="19"/>
      <c r="H767" s="19">
        <f>8059304/1000</f>
        <v>8059.3040000000001</v>
      </c>
      <c r="I767" s="19"/>
      <c r="J767" s="19"/>
      <c r="K767" s="19"/>
      <c r="L767" s="19"/>
      <c r="M767" s="19"/>
      <c r="N767" s="19"/>
      <c r="O767" s="19"/>
      <c r="P767" s="19"/>
      <c r="Q767" s="19"/>
      <c r="R767" s="19">
        <v>0</v>
      </c>
      <c r="S767" s="19"/>
      <c r="T767" s="19"/>
      <c r="U767" s="19"/>
      <c r="V767" s="19"/>
      <c r="W767" s="19"/>
      <c r="X767" s="19"/>
      <c r="Y767" s="19">
        <f t="shared" si="145"/>
        <v>8059.3040000000001</v>
      </c>
      <c r="Z767" s="19">
        <f t="shared" si="144"/>
        <v>0</v>
      </c>
      <c r="AA767" s="19"/>
      <c r="AB767" s="19"/>
      <c r="AC767" s="19"/>
      <c r="AD767" s="19"/>
    </row>
    <row r="768" spans="1:30" x14ac:dyDescent="0.2">
      <c r="C768" s="3" t="s">
        <v>77</v>
      </c>
      <c r="D768" s="19">
        <f>12000000/1000</f>
        <v>12000</v>
      </c>
      <c r="E768" s="19"/>
      <c r="F768" s="19"/>
      <c r="G768" s="19"/>
      <c r="H768" s="19">
        <f>12000000/1000</f>
        <v>12000</v>
      </c>
      <c r="I768" s="19"/>
      <c r="J768" s="19"/>
      <c r="K768" s="19"/>
      <c r="L768" s="19"/>
      <c r="M768" s="19"/>
      <c r="N768" s="19"/>
      <c r="O768" s="19"/>
      <c r="P768" s="19"/>
      <c r="Q768" s="19"/>
      <c r="R768" s="19">
        <v>0</v>
      </c>
      <c r="S768" s="19"/>
      <c r="T768" s="19"/>
      <c r="U768" s="19"/>
      <c r="V768" s="19"/>
      <c r="W768" s="19"/>
      <c r="X768" s="19"/>
      <c r="Y768" s="19">
        <f t="shared" si="145"/>
        <v>12000</v>
      </c>
      <c r="Z768" s="19">
        <f t="shared" si="144"/>
        <v>0</v>
      </c>
      <c r="AA768" s="19"/>
      <c r="AB768" s="19"/>
      <c r="AC768" s="19"/>
      <c r="AD768" s="19"/>
    </row>
    <row r="769" spans="1:30" x14ac:dyDescent="0.2">
      <c r="C769" s="3" t="s">
        <v>64</v>
      </c>
      <c r="D769" s="19">
        <f>12000000/1000</f>
        <v>12000</v>
      </c>
      <c r="E769" s="19"/>
      <c r="F769" s="19"/>
      <c r="G769" s="19"/>
      <c r="H769" s="19">
        <f>12000000/1000</f>
        <v>12000</v>
      </c>
      <c r="I769" s="19"/>
      <c r="J769" s="19"/>
      <c r="K769" s="19"/>
      <c r="L769" s="19"/>
      <c r="M769" s="19"/>
      <c r="N769" s="19"/>
      <c r="O769" s="19"/>
      <c r="P769" s="19"/>
      <c r="Q769" s="19"/>
      <c r="R769" s="19">
        <v>0</v>
      </c>
      <c r="S769" s="19"/>
      <c r="T769" s="19"/>
      <c r="U769" s="19"/>
      <c r="V769" s="19"/>
      <c r="W769" s="19"/>
      <c r="X769" s="19"/>
      <c r="Y769" s="19">
        <f t="shared" si="145"/>
        <v>12000</v>
      </c>
      <c r="Z769" s="19">
        <f t="shared" si="144"/>
        <v>0</v>
      </c>
      <c r="AA769" s="19"/>
      <c r="AB769" s="19"/>
      <c r="AC769" s="19"/>
      <c r="AD769" s="19"/>
    </row>
    <row r="770" spans="1:30" x14ac:dyDescent="0.2">
      <c r="C770" s="3" t="s">
        <v>67</v>
      </c>
      <c r="D770" s="19">
        <f>602000000/1000</f>
        <v>602000</v>
      </c>
      <c r="E770" s="19">
        <f>[1]TOBEPAID!E585/1000</f>
        <v>0</v>
      </c>
      <c r="F770" s="19">
        <f>[1]TOBEPAID!F585/1000</f>
        <v>24000</v>
      </c>
      <c r="G770" s="19">
        <f>[1]TOBEPAID!G585/1000</f>
        <v>0</v>
      </c>
      <c r="H770" s="19">
        <f>602000000/1000</f>
        <v>602000</v>
      </c>
      <c r="I770" s="19">
        <f>[1]TOBEPAID!I585/1000</f>
        <v>0</v>
      </c>
      <c r="J770" s="19">
        <f>[1]TOBEPAID!J585/1000</f>
        <v>0</v>
      </c>
      <c r="K770" s="19">
        <f>[1]TOBEPAID!K585/1000</f>
        <v>0</v>
      </c>
      <c r="L770" s="19">
        <f>[1]TOBEPAID!L585/1000</f>
        <v>0</v>
      </c>
      <c r="M770" s="19">
        <f>[1]TOBEPAID!M585/1000</f>
        <v>0</v>
      </c>
      <c r="N770" s="19">
        <f>[1]TOBEPAID!N585/1000</f>
        <v>24000</v>
      </c>
      <c r="O770" s="19">
        <f>[1]TOBEPAID!O585/1000</f>
        <v>0</v>
      </c>
      <c r="P770" s="19">
        <f>[1]TOBEPAID!P585/1000</f>
        <v>0</v>
      </c>
      <c r="Q770" s="19">
        <f>[1]TOBEPAID!Q585/1000</f>
        <v>0</v>
      </c>
      <c r="R770" s="19">
        <v>0</v>
      </c>
      <c r="S770" s="19">
        <f>[1]TOBEPAID!S585/1000</f>
        <v>0</v>
      </c>
      <c r="T770" s="19">
        <f>[1]TOBEPAID!T585/1000</f>
        <v>0</v>
      </c>
      <c r="U770" s="19">
        <f>[1]TOBEPAID!U585/1000</f>
        <v>0</v>
      </c>
      <c r="V770" s="19">
        <f>[1]TOBEPAID!V585/1000</f>
        <v>0</v>
      </c>
      <c r="W770" s="19">
        <f>[1]TOBEPAID!W585/1000</f>
        <v>0</v>
      </c>
      <c r="X770" s="19">
        <f>[1]TOBEPAID!X585/1000</f>
        <v>0</v>
      </c>
      <c r="Y770" s="19">
        <f t="shared" si="145"/>
        <v>602000</v>
      </c>
      <c r="Z770" s="19">
        <f t="shared" si="144"/>
        <v>0</v>
      </c>
      <c r="AA770" s="19">
        <f>[1]TOBEPAID!AA585/1000</f>
        <v>24000</v>
      </c>
      <c r="AB770" s="19">
        <f>[1]TOBEPAID!AB585/1000</f>
        <v>0</v>
      </c>
      <c r="AC770" s="19"/>
      <c r="AD770" s="19"/>
    </row>
    <row r="771" spans="1:30" x14ac:dyDescent="0.2">
      <c r="A771" s="18"/>
      <c r="C771" s="3" t="s">
        <v>260</v>
      </c>
      <c r="D771" s="19">
        <v>0</v>
      </c>
      <c r="E771" s="19">
        <f>[1]TOBEPAID!E586/1000</f>
        <v>0</v>
      </c>
      <c r="F771" s="19">
        <f>[1]TOBEPAID!F586/1000</f>
        <v>0</v>
      </c>
      <c r="G771" s="19">
        <f>[1]TOBEPAID!G586/1000</f>
        <v>0</v>
      </c>
      <c r="H771" s="19">
        <v>0</v>
      </c>
      <c r="I771" s="19">
        <f>[1]TOBEPAID!I586/1000</f>
        <v>0</v>
      </c>
      <c r="J771" s="19">
        <f>[1]TOBEPAID!J586/1000</f>
        <v>0</v>
      </c>
      <c r="K771" s="19">
        <f>[1]TOBEPAID!K586/1000</f>
        <v>0</v>
      </c>
      <c r="L771" s="19">
        <f>[1]TOBEPAID!L586/1000</f>
        <v>0</v>
      </c>
      <c r="M771" s="19">
        <f>[1]TOBEPAID!M586/1000</f>
        <v>0</v>
      </c>
      <c r="N771" s="19">
        <f>[1]TOBEPAID!N586/1000</f>
        <v>0</v>
      </c>
      <c r="O771" s="19">
        <f>[1]TOBEPAID!O586/1000</f>
        <v>0</v>
      </c>
      <c r="P771" s="19">
        <f>[1]TOBEPAID!P586/1000</f>
        <v>0</v>
      </c>
      <c r="Q771" s="19">
        <f>[1]TOBEPAID!Q586/1000</f>
        <v>0</v>
      </c>
      <c r="R771" s="19">
        <v>0</v>
      </c>
      <c r="S771" s="19">
        <f>[1]TOBEPAID!S586/1000</f>
        <v>0</v>
      </c>
      <c r="T771" s="19">
        <f>[1]TOBEPAID!T586/1000</f>
        <v>0</v>
      </c>
      <c r="U771" s="19">
        <f>[1]TOBEPAID!U586/1000</f>
        <v>0</v>
      </c>
      <c r="V771" s="19">
        <f>[1]TOBEPAID!V586/1000</f>
        <v>0</v>
      </c>
      <c r="W771" s="19">
        <f>[1]TOBEPAID!W586/1000</f>
        <v>0</v>
      </c>
      <c r="X771" s="19">
        <f>[1]TOBEPAID!X586/1000</f>
        <v>0</v>
      </c>
      <c r="Y771" s="19">
        <f t="shared" si="145"/>
        <v>0</v>
      </c>
      <c r="Z771" s="19">
        <f t="shared" si="144"/>
        <v>0</v>
      </c>
      <c r="AA771" s="19">
        <f>[1]TOBEPAID!AA586/1000</f>
        <v>0</v>
      </c>
      <c r="AB771" s="19">
        <f>[1]TOBEPAID!AB586/1000</f>
        <v>656.06240000000003</v>
      </c>
      <c r="AC771" s="19"/>
      <c r="AD771" s="19"/>
    </row>
    <row r="772" spans="1:30" x14ac:dyDescent="0.2">
      <c r="C772" s="3" t="s">
        <v>55</v>
      </c>
      <c r="D772" s="3">
        <f>147127.54/1000</f>
        <v>147.12754000000001</v>
      </c>
      <c r="H772" s="19">
        <v>0</v>
      </c>
      <c r="R772" s="3">
        <f>147127.54/1000</f>
        <v>147.12754000000001</v>
      </c>
      <c r="Y772" s="19">
        <f t="shared" si="145"/>
        <v>147.12754000000001</v>
      </c>
      <c r="Z772" s="19">
        <f t="shared" si="144"/>
        <v>0</v>
      </c>
    </row>
    <row r="773" spans="1:30" x14ac:dyDescent="0.2">
      <c r="A773" s="18"/>
      <c r="C773" s="3" t="s">
        <v>87</v>
      </c>
      <c r="D773" s="19">
        <f>4021327/1000</f>
        <v>4021.3270000000002</v>
      </c>
      <c r="E773" s="19">
        <f>[1]TOBEPAID!E587/1000</f>
        <v>0</v>
      </c>
      <c r="F773" s="19">
        <f>[1]TOBEPAID!F587/1000</f>
        <v>0</v>
      </c>
      <c r="G773" s="19">
        <f>[1]TOBEPAID!G587/1000</f>
        <v>0</v>
      </c>
      <c r="H773" s="19">
        <v>0</v>
      </c>
      <c r="I773" s="19">
        <f>[1]TOBEPAID!I587/1000</f>
        <v>0</v>
      </c>
      <c r="J773" s="19">
        <f>[1]TOBEPAID!J587/1000</f>
        <v>0</v>
      </c>
      <c r="K773" s="19">
        <f>[1]TOBEPAID!K587/1000</f>
        <v>0</v>
      </c>
      <c r="L773" s="19">
        <f>[1]TOBEPAID!L587/1000</f>
        <v>0</v>
      </c>
      <c r="M773" s="19">
        <f>[1]TOBEPAID!M587/1000</f>
        <v>0</v>
      </c>
      <c r="N773" s="19">
        <f>[1]TOBEPAID!N587/1000</f>
        <v>0</v>
      </c>
      <c r="O773" s="19">
        <f>[1]TOBEPAID!O587/1000</f>
        <v>4077.4146299999998</v>
      </c>
      <c r="P773" s="19">
        <f>[1]TOBEPAID!P587/1000</f>
        <v>0</v>
      </c>
      <c r="Q773" s="19">
        <f>[1]TOBEPAID!Q587/1000</f>
        <v>0</v>
      </c>
      <c r="R773" s="19">
        <f>3930287.12/1000</f>
        <v>3930.28712</v>
      </c>
      <c r="S773" s="19">
        <f>[1]TOBEPAID!S587/1000</f>
        <v>0</v>
      </c>
      <c r="T773" s="19">
        <f>[1]TOBEPAID!T587/1000</f>
        <v>0</v>
      </c>
      <c r="U773" s="19">
        <f>[1]TOBEPAID!U587/1000</f>
        <v>0</v>
      </c>
      <c r="V773" s="19">
        <f>[1]TOBEPAID!V587/1000</f>
        <v>0</v>
      </c>
      <c r="W773" s="19">
        <f>[1]TOBEPAID!W587/1000</f>
        <v>0</v>
      </c>
      <c r="X773" s="19">
        <f>[1]TOBEPAID!X587/1000</f>
        <v>4077.4146299999998</v>
      </c>
      <c r="Y773" s="19">
        <f>+H773+R773</f>
        <v>3930.28712</v>
      </c>
      <c r="Z773" s="19">
        <f t="shared" si="144"/>
        <v>91.039880000000267</v>
      </c>
      <c r="AA773" s="19">
        <f>[1]TOBEPAID!AA587/1000</f>
        <v>4077.4146299999998</v>
      </c>
      <c r="AB773" s="19">
        <f>[1]TOBEPAID!AB587/1000</f>
        <v>10740.730379999999</v>
      </c>
      <c r="AC773" s="19"/>
      <c r="AD773" s="19"/>
    </row>
    <row r="774" spans="1:30" x14ac:dyDescent="0.2">
      <c r="A774" s="18"/>
      <c r="D774" s="21" t="s">
        <v>57</v>
      </c>
      <c r="E774" s="21" t="s">
        <v>57</v>
      </c>
      <c r="F774" s="21" t="s">
        <v>57</v>
      </c>
      <c r="G774" s="21"/>
      <c r="H774" s="21" t="s">
        <v>57</v>
      </c>
      <c r="I774" s="21" t="s">
        <v>57</v>
      </c>
      <c r="J774" s="21" t="s">
        <v>57</v>
      </c>
      <c r="K774" s="21" t="s">
        <v>57</v>
      </c>
      <c r="L774" s="21" t="s">
        <v>57</v>
      </c>
      <c r="M774" s="21"/>
      <c r="N774" s="21" t="s">
        <v>57</v>
      </c>
      <c r="O774" s="21" t="s">
        <v>57</v>
      </c>
      <c r="P774" s="21" t="s">
        <v>57</v>
      </c>
      <c r="Q774" s="21"/>
      <c r="R774" s="21" t="s">
        <v>57</v>
      </c>
      <c r="S774" s="21" t="s">
        <v>57</v>
      </c>
      <c r="T774" s="21" t="s">
        <v>57</v>
      </c>
      <c r="U774" s="21" t="s">
        <v>57</v>
      </c>
      <c r="V774" s="21" t="s">
        <v>57</v>
      </c>
      <c r="W774" s="21"/>
      <c r="X774" s="21" t="s">
        <v>57</v>
      </c>
      <c r="Y774" s="21" t="s">
        <v>57</v>
      </c>
      <c r="Z774" s="21" t="s">
        <v>57</v>
      </c>
      <c r="AA774" s="21" t="s">
        <v>57</v>
      </c>
      <c r="AB774" s="21" t="s">
        <v>57</v>
      </c>
      <c r="AC774" s="21"/>
      <c r="AD774" s="21"/>
    </row>
    <row r="775" spans="1:30" x14ac:dyDescent="0.2">
      <c r="A775" s="18"/>
      <c r="D775" s="30">
        <f>SUM(D757:D773)</f>
        <v>778229.7079700001</v>
      </c>
      <c r="E775" s="30">
        <f>SUM(E757:E773)</f>
        <v>74125.943059999991</v>
      </c>
      <c r="F775" s="30">
        <f>SUM(F757:F773)</f>
        <v>24000</v>
      </c>
      <c r="G775" s="30"/>
      <c r="H775" s="30">
        <f>SUM(H757:H773)</f>
        <v>770857.26159999997</v>
      </c>
      <c r="I775" s="30">
        <f>SUM(I757:I773)</f>
        <v>0</v>
      </c>
      <c r="J775" s="30">
        <f>SUM(J757:J773)</f>
        <v>0</v>
      </c>
      <c r="K775" s="30">
        <f>SUM(K757:K773)</f>
        <v>0</v>
      </c>
      <c r="L775" s="30">
        <f>SUM(L757:L773)</f>
        <v>0</v>
      </c>
      <c r="M775" s="30"/>
      <c r="N775" s="30">
        <f>SUM(N757:N773)</f>
        <v>98125.943059999991</v>
      </c>
      <c r="O775" s="30">
        <f>SUM(O757:O773)</f>
        <v>6895.6779900000001</v>
      </c>
      <c r="P775" s="30">
        <f>SUM(P757:P773)</f>
        <v>0</v>
      </c>
      <c r="Q775" s="30"/>
      <c r="R775" s="30">
        <f>SUM(R757:R773)</f>
        <v>6895.6776599999994</v>
      </c>
      <c r="S775" s="30">
        <f>SUM(S757:S773)</f>
        <v>0</v>
      </c>
      <c r="T775" s="30">
        <f>SUM(T757:T773)</f>
        <v>0</v>
      </c>
      <c r="U775" s="30">
        <f>SUM(U757:U773)</f>
        <v>0</v>
      </c>
      <c r="V775" s="30">
        <f>SUM(V757:V773)</f>
        <v>0</v>
      </c>
      <c r="W775" s="30"/>
      <c r="X775" s="30">
        <f>SUM(X757:X773)</f>
        <v>6895.6779900000001</v>
      </c>
      <c r="Y775" s="30">
        <f>SUM(Y757:Y773)</f>
        <v>777752.93926000001</v>
      </c>
      <c r="Z775" s="30">
        <f>SUM(Z757:Z773)</f>
        <v>476.76870999999664</v>
      </c>
      <c r="AA775" s="30">
        <f>SUM(AA757:AA773)</f>
        <v>105021.62104999999</v>
      </c>
      <c r="AB775" s="30">
        <f>SUM(AB757:AB773)</f>
        <v>11606.669290000003</v>
      </c>
      <c r="AC775" s="30"/>
      <c r="AD775" s="30"/>
    </row>
    <row r="776" spans="1:30" x14ac:dyDescent="0.2">
      <c r="A776" s="18"/>
      <c r="D776" s="21" t="s">
        <v>57</v>
      </c>
      <c r="E776" s="21" t="s">
        <v>57</v>
      </c>
      <c r="F776" s="21" t="s">
        <v>57</v>
      </c>
      <c r="G776" s="21"/>
      <c r="H776" s="21" t="s">
        <v>57</v>
      </c>
      <c r="I776" s="21" t="s">
        <v>57</v>
      </c>
      <c r="J776" s="21" t="s">
        <v>57</v>
      </c>
      <c r="K776" s="21" t="s">
        <v>57</v>
      </c>
      <c r="L776" s="21" t="s">
        <v>57</v>
      </c>
      <c r="M776" s="21"/>
      <c r="N776" s="21" t="s">
        <v>57</v>
      </c>
      <c r="O776" s="21" t="s">
        <v>57</v>
      </c>
      <c r="P776" s="21" t="s">
        <v>57</v>
      </c>
      <c r="Q776" s="21"/>
      <c r="R776" s="21" t="s">
        <v>57</v>
      </c>
      <c r="S776" s="21" t="s">
        <v>57</v>
      </c>
      <c r="T776" s="21" t="s">
        <v>57</v>
      </c>
      <c r="U776" s="21" t="s">
        <v>57</v>
      </c>
      <c r="V776" s="21" t="s">
        <v>57</v>
      </c>
      <c r="W776" s="21"/>
      <c r="X776" s="21" t="s">
        <v>57</v>
      </c>
      <c r="Y776" s="21" t="s">
        <v>57</v>
      </c>
      <c r="Z776" s="21" t="s">
        <v>57</v>
      </c>
      <c r="AA776" s="21" t="s">
        <v>57</v>
      </c>
      <c r="AB776" s="21" t="s">
        <v>57</v>
      </c>
      <c r="AC776" s="21"/>
      <c r="AD776" s="21"/>
    </row>
    <row r="777" spans="1:30" x14ac:dyDescent="0.2"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8"/>
      <c r="P777" s="38"/>
      <c r="Q777" s="38"/>
      <c r="R777" s="38"/>
      <c r="S777" s="38"/>
      <c r="T777" s="38"/>
      <c r="U777" s="38"/>
      <c r="V777" s="38"/>
      <c r="W777" s="38"/>
      <c r="X777" s="30"/>
      <c r="Y777" s="30"/>
      <c r="Z777" s="30"/>
      <c r="AA777" s="30"/>
      <c r="AB777" s="30"/>
      <c r="AC777" s="30"/>
      <c r="AD777" s="30"/>
    </row>
    <row r="778" spans="1:30" x14ac:dyDescent="0.2">
      <c r="A778" s="18">
        <v>57</v>
      </c>
      <c r="B778" s="3" t="s">
        <v>261</v>
      </c>
      <c r="C778" s="17" t="s">
        <v>51</v>
      </c>
      <c r="D778" s="19">
        <f>5607425/1000</f>
        <v>5607.4250000000002</v>
      </c>
      <c r="E778" s="19">
        <f>[1]TOBEPAID!E592/1000</f>
        <v>0</v>
      </c>
      <c r="F778" s="19">
        <f>[1]TOBEPAID!F592/1000</f>
        <v>0</v>
      </c>
      <c r="G778" s="19">
        <f>[1]TOBEPAID!G592/1000</f>
        <v>0</v>
      </c>
      <c r="H778" s="19">
        <f>5600000/1000</f>
        <v>5600</v>
      </c>
      <c r="I778" s="19">
        <f>[1]TOBEPAID!I592/1000</f>
        <v>0</v>
      </c>
      <c r="J778" s="19">
        <f>[1]TOBEPAID!J592/1000</f>
        <v>0</v>
      </c>
      <c r="K778" s="19">
        <f>[1]TOBEPAID!K592/1000</f>
        <v>0</v>
      </c>
      <c r="L778" s="19">
        <f>[1]TOBEPAID!L592/1000</f>
        <v>0</v>
      </c>
      <c r="M778" s="19">
        <f>[1]TOBEPAID!M592/1000</f>
        <v>0</v>
      </c>
      <c r="N778" s="19">
        <f>[1]TOBEPAID!N592/1000</f>
        <v>0</v>
      </c>
      <c r="O778" s="19">
        <f>[1]TOBEPAID!O592/1000</f>
        <v>0</v>
      </c>
      <c r="P778" s="19">
        <f>[1]TOBEPAID!P592/1000</f>
        <v>0</v>
      </c>
      <c r="Q778" s="19">
        <f>[1]TOBEPAID!Q592/1000</f>
        <v>0</v>
      </c>
      <c r="R778" s="19">
        <v>0</v>
      </c>
      <c r="S778" s="19">
        <f>[1]TOBEPAID!S592/1000</f>
        <v>0</v>
      </c>
      <c r="T778" s="19">
        <f>[1]TOBEPAID!T592/1000</f>
        <v>0</v>
      </c>
      <c r="U778" s="19">
        <f>[1]TOBEPAID!U592/1000</f>
        <v>0</v>
      </c>
      <c r="V778" s="19">
        <f>[1]TOBEPAID!V592/1000</f>
        <v>0</v>
      </c>
      <c r="W778" s="19">
        <f>[1]TOBEPAID!W592/1000</f>
        <v>0</v>
      </c>
      <c r="X778" s="19">
        <f>[1]TOBEPAID!X592/1000</f>
        <v>0</v>
      </c>
      <c r="Y778" s="19">
        <f>+H778+R778</f>
        <v>5600</v>
      </c>
      <c r="Z778" s="19">
        <f>+D778-Y778</f>
        <v>7.4250000000001819</v>
      </c>
      <c r="AA778" s="19">
        <f>[1]TOBEPAID!AA592/1000</f>
        <v>0</v>
      </c>
      <c r="AB778" s="19">
        <f>[1]TOBEPAID!AB592/1000</f>
        <v>5314.0288</v>
      </c>
      <c r="AC778" s="19"/>
      <c r="AD778" s="19"/>
    </row>
    <row r="779" spans="1:30" x14ac:dyDescent="0.2">
      <c r="A779" s="18"/>
      <c r="C779" s="3" t="s">
        <v>52</v>
      </c>
      <c r="D779" s="19">
        <f>1379685/1000</f>
        <v>1379.6849999999999</v>
      </c>
      <c r="E779" s="19">
        <f>[1]TOBEPAID!E593/1000</f>
        <v>1379.6849999999999</v>
      </c>
      <c r="F779" s="19">
        <f>[1]TOBEPAID!F593/1000</f>
        <v>0</v>
      </c>
      <c r="G779" s="19">
        <f>[1]TOBEPAID!G593/1000</f>
        <v>0</v>
      </c>
      <c r="H779" s="19">
        <f>1379685/1000</f>
        <v>1379.6849999999999</v>
      </c>
      <c r="I779" s="19">
        <f>[1]TOBEPAID!I593/1000</f>
        <v>0</v>
      </c>
      <c r="J779" s="19">
        <f>[1]TOBEPAID!J593/1000</f>
        <v>0</v>
      </c>
      <c r="K779" s="19">
        <f>[1]TOBEPAID!K593/1000</f>
        <v>0</v>
      </c>
      <c r="L779" s="19">
        <f>[1]TOBEPAID!L593/1000</f>
        <v>0</v>
      </c>
      <c r="M779" s="19">
        <f>[1]TOBEPAID!M593/1000</f>
        <v>0</v>
      </c>
      <c r="N779" s="19">
        <f>[1]TOBEPAID!N593/1000</f>
        <v>1379.6849999999999</v>
      </c>
      <c r="O779" s="19">
        <f>[1]TOBEPAID!O593/1000</f>
        <v>0</v>
      </c>
      <c r="P779" s="19">
        <f>[1]TOBEPAID!P593/1000</f>
        <v>0</v>
      </c>
      <c r="Q779" s="19">
        <f>[1]TOBEPAID!Q593/1000</f>
        <v>0</v>
      </c>
      <c r="R779" s="19">
        <v>0</v>
      </c>
      <c r="S779" s="19">
        <f>[1]TOBEPAID!S593/1000</f>
        <v>0</v>
      </c>
      <c r="T779" s="19">
        <f>[1]TOBEPAID!T593/1000</f>
        <v>0</v>
      </c>
      <c r="U779" s="19">
        <f>[1]TOBEPAID!U593/1000</f>
        <v>0</v>
      </c>
      <c r="V779" s="19">
        <f>[1]TOBEPAID!V593/1000</f>
        <v>0</v>
      </c>
      <c r="W779" s="19">
        <f>[1]TOBEPAID!W593/1000</f>
        <v>0</v>
      </c>
      <c r="X779" s="19">
        <f>[1]TOBEPAID!X593/1000</f>
        <v>0</v>
      </c>
      <c r="Y779" s="19">
        <f>+H779+R779</f>
        <v>1379.6849999999999</v>
      </c>
      <c r="Z779" s="19">
        <f>+D779-Y779</f>
        <v>0</v>
      </c>
      <c r="AA779" s="19">
        <f>[1]TOBEPAID!AA593/1000</f>
        <v>1379.6849999999999</v>
      </c>
      <c r="AB779" s="19">
        <f>[1]TOBEPAID!AB593/1000</f>
        <v>0</v>
      </c>
      <c r="AC779" s="19"/>
      <c r="AD779" s="19"/>
    </row>
    <row r="780" spans="1:30" x14ac:dyDescent="0.2">
      <c r="A780" s="18"/>
      <c r="C780" s="3" t="s">
        <v>75</v>
      </c>
      <c r="D780" s="19">
        <f>8000000/1000</f>
        <v>8000</v>
      </c>
      <c r="E780" s="19"/>
      <c r="F780" s="19"/>
      <c r="G780" s="19"/>
      <c r="H780" s="19">
        <f>8000000/1000</f>
        <v>8000</v>
      </c>
      <c r="I780" s="19"/>
      <c r="J780" s="19"/>
      <c r="K780" s="19"/>
      <c r="L780" s="19"/>
      <c r="M780" s="19"/>
      <c r="N780" s="19"/>
      <c r="O780" s="19"/>
      <c r="P780" s="19"/>
      <c r="Q780" s="19"/>
      <c r="R780" s="19">
        <v>0</v>
      </c>
      <c r="S780" s="19"/>
      <c r="T780" s="19"/>
      <c r="U780" s="19"/>
      <c r="V780" s="19"/>
      <c r="W780" s="19"/>
      <c r="X780" s="19"/>
      <c r="Y780" s="19">
        <f>+H780+R780</f>
        <v>8000</v>
      </c>
      <c r="Z780" s="19">
        <f>+D780-Y780</f>
        <v>0</v>
      </c>
      <c r="AA780" s="19"/>
      <c r="AB780" s="19"/>
      <c r="AC780" s="19"/>
      <c r="AD780" s="19"/>
    </row>
    <row r="781" spans="1:30" x14ac:dyDescent="0.2">
      <c r="A781" s="18"/>
      <c r="C781" s="3" t="s">
        <v>63</v>
      </c>
      <c r="D781" s="19">
        <f>12000000/1000</f>
        <v>12000</v>
      </c>
      <c r="E781" s="19"/>
      <c r="F781" s="19"/>
      <c r="G781" s="19"/>
      <c r="H781" s="19">
        <f>12000000/1000</f>
        <v>12000</v>
      </c>
      <c r="I781" s="19"/>
      <c r="J781" s="19"/>
      <c r="K781" s="19"/>
      <c r="L781" s="19"/>
      <c r="M781" s="19"/>
      <c r="N781" s="19"/>
      <c r="O781" s="19"/>
      <c r="P781" s="19"/>
      <c r="Q781" s="19"/>
      <c r="R781" s="19">
        <v>0</v>
      </c>
      <c r="S781" s="19"/>
      <c r="T781" s="19"/>
      <c r="U781" s="19"/>
      <c r="V781" s="19"/>
      <c r="W781" s="19"/>
      <c r="X781" s="19"/>
      <c r="Y781" s="19">
        <f>+H781+R781</f>
        <v>12000</v>
      </c>
      <c r="Z781" s="19">
        <f>+D781-Y781</f>
        <v>0</v>
      </c>
      <c r="AA781" s="19"/>
      <c r="AB781" s="19"/>
      <c r="AC781" s="19"/>
      <c r="AD781" s="19"/>
    </row>
    <row r="782" spans="1:30" x14ac:dyDescent="0.2">
      <c r="A782" s="18"/>
      <c r="C782" s="3" t="s">
        <v>96</v>
      </c>
      <c r="D782" s="19">
        <v>0</v>
      </c>
      <c r="E782" s="19">
        <f>[1]TOBEPAID!E594/1000</f>
        <v>0</v>
      </c>
      <c r="F782" s="19">
        <f>[1]TOBEPAID!F594/1000</f>
        <v>0</v>
      </c>
      <c r="G782" s="19">
        <f>[1]TOBEPAID!G594/1000</f>
        <v>0</v>
      </c>
      <c r="H782" s="19">
        <v>0</v>
      </c>
      <c r="I782" s="19">
        <f>[1]TOBEPAID!I594/1000</f>
        <v>0</v>
      </c>
      <c r="J782" s="19">
        <f>[1]TOBEPAID!J594/1000</f>
        <v>0</v>
      </c>
      <c r="K782" s="19">
        <f>[1]TOBEPAID!K594/1000</f>
        <v>0</v>
      </c>
      <c r="L782" s="19">
        <f>[1]TOBEPAID!L594/1000</f>
        <v>0</v>
      </c>
      <c r="M782" s="19">
        <f>[1]TOBEPAID!M594/1000</f>
        <v>0</v>
      </c>
      <c r="N782" s="19">
        <f>[1]TOBEPAID!N594/1000</f>
        <v>0</v>
      </c>
      <c r="O782" s="19">
        <f>[1]TOBEPAID!O594/1000</f>
        <v>0</v>
      </c>
      <c r="P782" s="19">
        <f>[1]TOBEPAID!P594/1000</f>
        <v>0</v>
      </c>
      <c r="Q782" s="19">
        <f>[1]TOBEPAID!Q594/1000</f>
        <v>0</v>
      </c>
      <c r="R782" s="19">
        <v>0</v>
      </c>
      <c r="S782" s="19">
        <f>[1]TOBEPAID!S594/1000</f>
        <v>0</v>
      </c>
      <c r="T782" s="19">
        <f>[1]TOBEPAID!T594/1000</f>
        <v>0</v>
      </c>
      <c r="U782" s="19">
        <f>[1]TOBEPAID!U594/1000</f>
        <v>0</v>
      </c>
      <c r="V782" s="19">
        <f>[1]TOBEPAID!V594/1000</f>
        <v>0</v>
      </c>
      <c r="W782" s="19">
        <f>[1]TOBEPAID!W594/1000</f>
        <v>0</v>
      </c>
      <c r="X782" s="19">
        <f>[1]TOBEPAID!X594/1000</f>
        <v>0</v>
      </c>
      <c r="Y782" s="19">
        <f>+H782+R782</f>
        <v>0</v>
      </c>
      <c r="Z782" s="19">
        <f>+D782-Y782</f>
        <v>0</v>
      </c>
      <c r="AA782" s="19">
        <f>[1]TOBEPAID!AA594/1000</f>
        <v>0</v>
      </c>
      <c r="AB782" s="19">
        <f>[1]TOBEPAID!AB594/1000</f>
        <v>293.39620000000002</v>
      </c>
      <c r="AC782" s="19"/>
      <c r="AD782" s="19"/>
    </row>
    <row r="783" spans="1:30" x14ac:dyDescent="0.2">
      <c r="A783" s="18"/>
      <c r="D783" s="21" t="s">
        <v>57</v>
      </c>
      <c r="E783" s="21" t="s">
        <v>57</v>
      </c>
      <c r="F783" s="21" t="s">
        <v>57</v>
      </c>
      <c r="G783" s="21"/>
      <c r="H783" s="21" t="s">
        <v>57</v>
      </c>
      <c r="I783" s="21" t="s">
        <v>57</v>
      </c>
      <c r="J783" s="21" t="s">
        <v>57</v>
      </c>
      <c r="K783" s="21" t="s">
        <v>57</v>
      </c>
      <c r="L783" s="21" t="s">
        <v>57</v>
      </c>
      <c r="M783" s="21"/>
      <c r="N783" s="21" t="s">
        <v>57</v>
      </c>
      <c r="O783" s="21" t="s">
        <v>57</v>
      </c>
      <c r="P783" s="21" t="s">
        <v>57</v>
      </c>
      <c r="Q783" s="21"/>
      <c r="R783" s="21" t="s">
        <v>57</v>
      </c>
      <c r="S783" s="21" t="s">
        <v>57</v>
      </c>
      <c r="T783" s="21" t="s">
        <v>57</v>
      </c>
      <c r="U783" s="21" t="s">
        <v>57</v>
      </c>
      <c r="V783" s="21" t="s">
        <v>57</v>
      </c>
      <c r="W783" s="21"/>
      <c r="X783" s="21" t="s">
        <v>57</v>
      </c>
      <c r="Y783" s="21" t="s">
        <v>57</v>
      </c>
      <c r="Z783" s="21" t="s">
        <v>57</v>
      </c>
      <c r="AA783" s="21" t="s">
        <v>57</v>
      </c>
      <c r="AB783" s="21" t="s">
        <v>57</v>
      </c>
      <c r="AC783" s="21"/>
      <c r="AD783" s="21"/>
    </row>
    <row r="784" spans="1:30" x14ac:dyDescent="0.2">
      <c r="A784" s="18"/>
      <c r="D784" s="30">
        <f>SUM(D778:D782)</f>
        <v>26987.11</v>
      </c>
      <c r="E784" s="30">
        <f>SUM(E778:E782)</f>
        <v>1379.6849999999999</v>
      </c>
      <c r="F784" s="30">
        <f>SUM(F778:F782)</f>
        <v>0</v>
      </c>
      <c r="G784" s="30"/>
      <c r="H784" s="30">
        <f>SUM(H778:H782)</f>
        <v>26979.684999999998</v>
      </c>
      <c r="I784" s="30">
        <f>SUM(I778:I782)</f>
        <v>0</v>
      </c>
      <c r="J784" s="30">
        <f>SUM(J778:J782)</f>
        <v>0</v>
      </c>
      <c r="K784" s="30">
        <f>SUM(K778:K782)</f>
        <v>0</v>
      </c>
      <c r="L784" s="30">
        <f>SUM(L778:L782)</f>
        <v>0</v>
      </c>
      <c r="M784" s="30"/>
      <c r="N784" s="30">
        <f>SUM(N778:N782)</f>
        <v>1379.6849999999999</v>
      </c>
      <c r="O784" s="30">
        <f>SUM(O778:O782)</f>
        <v>0</v>
      </c>
      <c r="P784" s="30">
        <f>SUM(P778:P782)</f>
        <v>0</v>
      </c>
      <c r="Q784" s="30"/>
      <c r="R784" s="30">
        <f>SUM(R778:R782)</f>
        <v>0</v>
      </c>
      <c r="S784" s="30">
        <f>SUM(S778:S782)</f>
        <v>0</v>
      </c>
      <c r="T784" s="30">
        <f>SUM(T778:T782)</f>
        <v>0</v>
      </c>
      <c r="U784" s="30">
        <f>SUM(U778:U782)</f>
        <v>0</v>
      </c>
      <c r="V784" s="30">
        <f>SUM(V778:V782)</f>
        <v>0</v>
      </c>
      <c r="W784" s="30"/>
      <c r="X784" s="30">
        <f>SUM(X778:X782)</f>
        <v>0</v>
      </c>
      <c r="Y784" s="30">
        <f>SUM(Y778:Y782)</f>
        <v>26979.684999999998</v>
      </c>
      <c r="Z784" s="30">
        <f>SUM(Z778:Z782)</f>
        <v>7.4250000000001819</v>
      </c>
      <c r="AA784" s="30">
        <f>SUM(AA778:AA782)</f>
        <v>1379.6849999999999</v>
      </c>
      <c r="AB784" s="30">
        <f>SUM(AB778:AB782)</f>
        <v>5607.4250000000002</v>
      </c>
      <c r="AC784" s="30"/>
      <c r="AD784" s="30"/>
    </row>
    <row r="785" spans="1:30" x14ac:dyDescent="0.2">
      <c r="A785" s="18"/>
      <c r="D785" s="21" t="s">
        <v>57</v>
      </c>
      <c r="E785" s="21" t="s">
        <v>57</v>
      </c>
      <c r="F785" s="21" t="s">
        <v>57</v>
      </c>
      <c r="G785" s="21"/>
      <c r="H785" s="21" t="s">
        <v>57</v>
      </c>
      <c r="I785" s="21" t="s">
        <v>57</v>
      </c>
      <c r="J785" s="21" t="s">
        <v>57</v>
      </c>
      <c r="K785" s="21" t="s">
        <v>57</v>
      </c>
      <c r="L785" s="21" t="s">
        <v>57</v>
      </c>
      <c r="M785" s="21"/>
      <c r="N785" s="21" t="s">
        <v>57</v>
      </c>
      <c r="O785" s="21" t="s">
        <v>57</v>
      </c>
      <c r="P785" s="21" t="s">
        <v>57</v>
      </c>
      <c r="Q785" s="21"/>
      <c r="R785" s="21" t="s">
        <v>57</v>
      </c>
      <c r="S785" s="21" t="s">
        <v>57</v>
      </c>
      <c r="T785" s="21" t="s">
        <v>57</v>
      </c>
      <c r="U785" s="21" t="s">
        <v>57</v>
      </c>
      <c r="V785" s="21" t="s">
        <v>57</v>
      </c>
      <c r="W785" s="21"/>
      <c r="X785" s="21" t="s">
        <v>57</v>
      </c>
      <c r="Y785" s="21" t="s">
        <v>57</v>
      </c>
      <c r="Z785" s="21" t="s">
        <v>57</v>
      </c>
      <c r="AA785" s="21" t="s">
        <v>57</v>
      </c>
      <c r="AB785" s="21" t="s">
        <v>57</v>
      </c>
      <c r="AC785" s="21"/>
      <c r="AD785" s="21"/>
    </row>
    <row r="786" spans="1:30" x14ac:dyDescent="0.2">
      <c r="A786" s="18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1:30" x14ac:dyDescent="0.2">
      <c r="A787" s="18">
        <v>58</v>
      </c>
      <c r="B787" s="3" t="s">
        <v>262</v>
      </c>
      <c r="C787" s="17" t="s">
        <v>51</v>
      </c>
      <c r="D787" s="19">
        <f>51788945/1000</f>
        <v>51788.945</v>
      </c>
      <c r="E787" s="19">
        <f>[1]TOBEPAID!E598/1000</f>
        <v>0</v>
      </c>
      <c r="F787" s="19">
        <f>[1]TOBEPAID!F598/1000</f>
        <v>0</v>
      </c>
      <c r="G787" s="19">
        <f>[1]TOBEPAID!G598/1000</f>
        <v>0</v>
      </c>
      <c r="H787" s="19">
        <f>51788945/1000</f>
        <v>51788.945</v>
      </c>
      <c r="I787" s="19">
        <f>[1]TOBEPAID!I598/1000</f>
        <v>0</v>
      </c>
      <c r="J787" s="19">
        <f>[1]TOBEPAID!J598/1000</f>
        <v>0</v>
      </c>
      <c r="K787" s="19">
        <f>[1]TOBEPAID!K598/1000</f>
        <v>0</v>
      </c>
      <c r="L787" s="19">
        <f>[1]TOBEPAID!L598/1000</f>
        <v>0</v>
      </c>
      <c r="M787" s="19">
        <f>[1]TOBEPAID!M598/1000</f>
        <v>0</v>
      </c>
      <c r="N787" s="19">
        <f>[1]TOBEPAID!N598/1000</f>
        <v>0</v>
      </c>
      <c r="O787" s="19">
        <f>[1]TOBEPAID!O598/1000</f>
        <v>0</v>
      </c>
      <c r="P787" s="19">
        <f>[1]TOBEPAID!P598/1000</f>
        <v>0</v>
      </c>
      <c r="Q787" s="19">
        <f>[1]TOBEPAID!Q598/1000</f>
        <v>0</v>
      </c>
      <c r="R787" s="19">
        <v>0</v>
      </c>
      <c r="S787" s="19">
        <f>[1]TOBEPAID!S598/1000</f>
        <v>0</v>
      </c>
      <c r="T787" s="19">
        <f>[1]TOBEPAID!T598/1000</f>
        <v>0</v>
      </c>
      <c r="U787" s="19">
        <f>[1]TOBEPAID!U598/1000</f>
        <v>0</v>
      </c>
      <c r="V787" s="19">
        <f>[1]TOBEPAID!V598/1000</f>
        <v>0</v>
      </c>
      <c r="W787" s="19">
        <f>[1]TOBEPAID!W598/1000</f>
        <v>0</v>
      </c>
      <c r="X787" s="19">
        <f>[1]TOBEPAID!X598/1000</f>
        <v>0</v>
      </c>
      <c r="Y787" s="19">
        <f>+H787+R787</f>
        <v>51788.945</v>
      </c>
      <c r="Z787" s="19">
        <f t="shared" ref="Z787:Z796" si="146">+D787-Y787</f>
        <v>0</v>
      </c>
      <c r="AA787" s="19">
        <f>[1]TOBEPAID!AA598/1000</f>
        <v>0</v>
      </c>
      <c r="AB787" s="19">
        <f>[1]TOBEPAID!AB598/1000</f>
        <v>28784.041860000001</v>
      </c>
      <c r="AC787" s="19"/>
      <c r="AD787" s="19"/>
    </row>
    <row r="788" spans="1:30" x14ac:dyDescent="0.2">
      <c r="A788" s="18"/>
      <c r="C788" s="3" t="s">
        <v>52</v>
      </c>
      <c r="D788" s="19">
        <f>2099141/1000</f>
        <v>2099.1410000000001</v>
      </c>
      <c r="E788" s="19">
        <f>[1]TOBEPAID!E599/1000</f>
        <v>2099.1410000000001</v>
      </c>
      <c r="F788" s="19">
        <f>[1]TOBEPAID!F599/1000</f>
        <v>0</v>
      </c>
      <c r="G788" s="19">
        <f>[1]TOBEPAID!G599/1000</f>
        <v>0</v>
      </c>
      <c r="H788" s="19">
        <f>2099141/1000</f>
        <v>2099.1410000000001</v>
      </c>
      <c r="I788" s="19">
        <f>[1]TOBEPAID!I599/1000</f>
        <v>0</v>
      </c>
      <c r="J788" s="19">
        <f>[1]TOBEPAID!J599/1000</f>
        <v>0</v>
      </c>
      <c r="K788" s="19">
        <f>[1]TOBEPAID!K599/1000</f>
        <v>0</v>
      </c>
      <c r="L788" s="19">
        <f>[1]TOBEPAID!L599/1000</f>
        <v>0</v>
      </c>
      <c r="M788" s="19">
        <f>[1]TOBEPAID!M599/1000</f>
        <v>0</v>
      </c>
      <c r="N788" s="19">
        <f>[1]TOBEPAID!N599/1000</f>
        <v>2099.1410000000001</v>
      </c>
      <c r="O788" s="19">
        <f>[1]TOBEPAID!O599/1000</f>
        <v>0</v>
      </c>
      <c r="P788" s="19">
        <f>[1]TOBEPAID!P599/1000</f>
        <v>0</v>
      </c>
      <c r="Q788" s="19">
        <f>[1]TOBEPAID!Q599/1000</f>
        <v>0</v>
      </c>
      <c r="R788" s="19">
        <v>0</v>
      </c>
      <c r="S788" s="19">
        <f>[1]TOBEPAID!S599/1000</f>
        <v>0</v>
      </c>
      <c r="T788" s="19">
        <f>[1]TOBEPAID!T599/1000</f>
        <v>0</v>
      </c>
      <c r="U788" s="19">
        <f>[1]TOBEPAID!U599/1000</f>
        <v>0</v>
      </c>
      <c r="V788" s="19">
        <f>[1]TOBEPAID!V599/1000</f>
        <v>0</v>
      </c>
      <c r="W788" s="19">
        <f>[1]TOBEPAID!W599/1000</f>
        <v>0</v>
      </c>
      <c r="X788" s="19">
        <f>[1]TOBEPAID!X599/1000</f>
        <v>0</v>
      </c>
      <c r="Y788" s="19">
        <f t="shared" ref="Y788:Y796" si="147">+H788+R788</f>
        <v>2099.1410000000001</v>
      </c>
      <c r="Z788" s="19">
        <f t="shared" si="146"/>
        <v>0</v>
      </c>
      <c r="AA788" s="19">
        <f>[1]TOBEPAID!AA599/1000</f>
        <v>2099.1410000000001</v>
      </c>
      <c r="AB788" s="19">
        <f>[1]TOBEPAID!AB599/1000</f>
        <v>0</v>
      </c>
      <c r="AC788" s="19"/>
      <c r="AD788" s="19"/>
    </row>
    <row r="789" spans="1:30" x14ac:dyDescent="0.2">
      <c r="A789" s="18"/>
      <c r="C789" s="3" t="s">
        <v>66</v>
      </c>
      <c r="D789" s="19">
        <f>30000000/1000</f>
        <v>30000</v>
      </c>
      <c r="E789" s="19"/>
      <c r="F789" s="19"/>
      <c r="G789" s="19"/>
      <c r="H789" s="19">
        <f>30000000/1000</f>
        <v>30000</v>
      </c>
      <c r="I789" s="19"/>
      <c r="J789" s="19"/>
      <c r="K789" s="19"/>
      <c r="L789" s="19"/>
      <c r="M789" s="19"/>
      <c r="N789" s="19"/>
      <c r="O789" s="19"/>
      <c r="P789" s="19"/>
      <c r="Q789" s="19"/>
      <c r="R789" s="19">
        <v>0</v>
      </c>
      <c r="S789" s="19"/>
      <c r="T789" s="19"/>
      <c r="U789" s="19"/>
      <c r="V789" s="19"/>
      <c r="W789" s="19"/>
      <c r="X789" s="19"/>
      <c r="Y789" s="19">
        <f>+H789-R789</f>
        <v>30000</v>
      </c>
      <c r="Z789" s="19">
        <f>+D789-Y789</f>
        <v>0</v>
      </c>
      <c r="AA789" s="19"/>
      <c r="AB789" s="19"/>
      <c r="AC789" s="19"/>
      <c r="AD789" s="19"/>
    </row>
    <row r="790" spans="1:30" x14ac:dyDescent="0.2">
      <c r="C790" s="3" t="s">
        <v>263</v>
      </c>
      <c r="D790" s="19">
        <v>0</v>
      </c>
      <c r="E790" s="19">
        <f>[1]TOBEPAID!E600/1000</f>
        <v>28245.625</v>
      </c>
      <c r="F790" s="19">
        <f>[1]TOBEPAID!F600/1000</f>
        <v>0</v>
      </c>
      <c r="G790" s="19">
        <f>[1]TOBEPAID!G600/1000</f>
        <v>0</v>
      </c>
      <c r="H790" s="19">
        <v>0</v>
      </c>
      <c r="I790" s="19">
        <f>[1]TOBEPAID!I600/1000</f>
        <v>0</v>
      </c>
      <c r="J790" s="19">
        <f>[1]TOBEPAID!J600/1000</f>
        <v>0</v>
      </c>
      <c r="K790" s="19">
        <f>[1]TOBEPAID!K600/1000</f>
        <v>0</v>
      </c>
      <c r="L790" s="19">
        <f>[1]TOBEPAID!L600/1000</f>
        <v>0</v>
      </c>
      <c r="M790" s="19">
        <f>[1]TOBEPAID!M600/1000</f>
        <v>0</v>
      </c>
      <c r="N790" s="19">
        <f>[1]TOBEPAID!N600/1000</f>
        <v>28245.625</v>
      </c>
      <c r="O790" s="19">
        <f>[1]TOBEPAID!O600/1000</f>
        <v>0</v>
      </c>
      <c r="P790" s="19">
        <f>[1]TOBEPAID!P600/1000</f>
        <v>0</v>
      </c>
      <c r="Q790" s="19">
        <f>[1]TOBEPAID!Q600/1000</f>
        <v>0</v>
      </c>
      <c r="R790" s="19">
        <v>0</v>
      </c>
      <c r="S790" s="19">
        <f>[1]TOBEPAID!S600/1000</f>
        <v>0</v>
      </c>
      <c r="T790" s="19">
        <f>[1]TOBEPAID!T600/1000</f>
        <v>0</v>
      </c>
      <c r="U790" s="19">
        <f>[1]TOBEPAID!U600/1000</f>
        <v>0</v>
      </c>
      <c r="V790" s="19">
        <f>[1]TOBEPAID!V600/1000</f>
        <v>0</v>
      </c>
      <c r="W790" s="19">
        <f>[1]TOBEPAID!W600/1000</f>
        <v>0</v>
      </c>
      <c r="X790" s="19">
        <f>[1]TOBEPAID!X600/1000</f>
        <v>0</v>
      </c>
      <c r="Y790" s="19">
        <f t="shared" si="147"/>
        <v>0</v>
      </c>
      <c r="Z790" s="19">
        <f t="shared" si="146"/>
        <v>0</v>
      </c>
      <c r="AA790" s="19">
        <f>[1]TOBEPAID!AA600/1000</f>
        <v>28245.625</v>
      </c>
      <c r="AB790" s="19">
        <f>[1]TOBEPAID!AB600/1000</f>
        <v>0</v>
      </c>
      <c r="AC790" s="19"/>
      <c r="AD790" s="19"/>
    </row>
    <row r="791" spans="1:30" x14ac:dyDescent="0.2">
      <c r="A791" s="18"/>
      <c r="C791" s="3" t="s">
        <v>87</v>
      </c>
      <c r="D791" s="19">
        <f>9336932/1000</f>
        <v>9336.9320000000007</v>
      </c>
      <c r="E791" s="19">
        <f>[1]TOBEPAID!E601/1000</f>
        <v>0</v>
      </c>
      <c r="F791" s="19">
        <f>[1]TOBEPAID!F601/1000</f>
        <v>0</v>
      </c>
      <c r="G791" s="19">
        <f>[1]TOBEPAID!G601/1000</f>
        <v>0</v>
      </c>
      <c r="H791" s="19">
        <v>0</v>
      </c>
      <c r="I791" s="19">
        <f>[1]TOBEPAID!I601/1000</f>
        <v>0</v>
      </c>
      <c r="J791" s="19">
        <f>[1]TOBEPAID!J601/1000</f>
        <v>0</v>
      </c>
      <c r="K791" s="19">
        <f>[1]TOBEPAID!K601/1000</f>
        <v>0</v>
      </c>
      <c r="L791" s="19">
        <f>[1]TOBEPAID!L601/1000</f>
        <v>0</v>
      </c>
      <c r="M791" s="19">
        <f>[1]TOBEPAID!M601/1000</f>
        <v>0</v>
      </c>
      <c r="N791" s="19">
        <f>[1]TOBEPAID!N601/1000</f>
        <v>0</v>
      </c>
      <c r="O791" s="19">
        <f>[1]TOBEPAID!O601/1000</f>
        <v>8484.7322499999991</v>
      </c>
      <c r="P791" s="19">
        <f>[1]TOBEPAID!P601/1000</f>
        <v>0</v>
      </c>
      <c r="Q791" s="19">
        <f>[1]TOBEPAID!Q601/1000</f>
        <v>0</v>
      </c>
      <c r="R791" s="19">
        <f>9336932/1000</f>
        <v>9336.9320000000007</v>
      </c>
      <c r="S791" s="19">
        <f>[1]TOBEPAID!S601/1000</f>
        <v>0</v>
      </c>
      <c r="T791" s="19">
        <f>[1]TOBEPAID!T601/1000</f>
        <v>0</v>
      </c>
      <c r="U791" s="19">
        <f>[1]TOBEPAID!U601/1000</f>
        <v>0</v>
      </c>
      <c r="V791" s="19">
        <f>[1]TOBEPAID!V601/1000</f>
        <v>0</v>
      </c>
      <c r="W791" s="19">
        <f>[1]TOBEPAID!W601/1000</f>
        <v>0</v>
      </c>
      <c r="X791" s="19">
        <f>[1]TOBEPAID!X601/1000</f>
        <v>8484.7322499999991</v>
      </c>
      <c r="Y791" s="19">
        <f t="shared" si="147"/>
        <v>9336.9320000000007</v>
      </c>
      <c r="Z791" s="19">
        <f t="shared" si="146"/>
        <v>0</v>
      </c>
      <c r="AA791" s="19">
        <f>[1]TOBEPAID!AA601/1000</f>
        <v>8484.7322499999991</v>
      </c>
      <c r="AB791" s="19">
        <f>[1]TOBEPAID!AB601/1000</f>
        <v>22505.887909999998</v>
      </c>
      <c r="AC791" s="19"/>
      <c r="AD791" s="19"/>
    </row>
    <row r="792" spans="1:30" x14ac:dyDescent="0.2">
      <c r="C792" s="3" t="s">
        <v>264</v>
      </c>
      <c r="D792" s="19">
        <f>7800000/1000</f>
        <v>7800</v>
      </c>
      <c r="E792" s="19">
        <f>[1]TOBEPAID!E602/1000</f>
        <v>7800</v>
      </c>
      <c r="F792" s="19">
        <f>[1]TOBEPAID!F602/1000</f>
        <v>0</v>
      </c>
      <c r="G792" s="19">
        <f>[1]TOBEPAID!G602/1000</f>
        <v>0</v>
      </c>
      <c r="H792" s="19">
        <f>7800000/1000</f>
        <v>7800</v>
      </c>
      <c r="I792" s="19">
        <f>[1]TOBEPAID!I602/1000</f>
        <v>0</v>
      </c>
      <c r="J792" s="19">
        <f>[1]TOBEPAID!J602/1000</f>
        <v>0</v>
      </c>
      <c r="K792" s="19">
        <f>[1]TOBEPAID!K602/1000</f>
        <v>0</v>
      </c>
      <c r="L792" s="19">
        <f>[1]TOBEPAID!L602/1000</f>
        <v>0</v>
      </c>
      <c r="M792" s="19">
        <f>[1]TOBEPAID!M602/1000</f>
        <v>0</v>
      </c>
      <c r="N792" s="19">
        <f>[1]TOBEPAID!N602/1000</f>
        <v>7800</v>
      </c>
      <c r="O792" s="19">
        <f>[1]TOBEPAID!O602/1000</f>
        <v>0</v>
      </c>
      <c r="P792" s="19">
        <f>[1]TOBEPAID!P602/1000</f>
        <v>0</v>
      </c>
      <c r="Q792" s="19">
        <f>[1]TOBEPAID!Q602/1000</f>
        <v>0</v>
      </c>
      <c r="R792" s="19">
        <f>[1]TOBEPAID!R602/1000</f>
        <v>0</v>
      </c>
      <c r="S792" s="19">
        <f>[1]TOBEPAID!S602/1000</f>
        <v>0</v>
      </c>
      <c r="T792" s="19">
        <f>[1]TOBEPAID!T602/1000</f>
        <v>0</v>
      </c>
      <c r="U792" s="19">
        <f>[1]TOBEPAID!U602/1000</f>
        <v>0</v>
      </c>
      <c r="V792" s="19">
        <f>[1]TOBEPAID!V602/1000</f>
        <v>0</v>
      </c>
      <c r="W792" s="19">
        <f>[1]TOBEPAID!W602/1000</f>
        <v>0</v>
      </c>
      <c r="X792" s="19">
        <f>[1]TOBEPAID!X602/1000</f>
        <v>0</v>
      </c>
      <c r="Y792" s="19">
        <f t="shared" si="147"/>
        <v>7800</v>
      </c>
      <c r="Z792" s="19">
        <f t="shared" si="146"/>
        <v>0</v>
      </c>
      <c r="AA792" s="19">
        <f>[1]TOBEPAID!AA602/1000</f>
        <v>7800</v>
      </c>
      <c r="AB792" s="19">
        <f>[1]TOBEPAID!AB602/1000</f>
        <v>0</v>
      </c>
      <c r="AC792" s="19"/>
      <c r="AD792" s="19"/>
    </row>
    <row r="793" spans="1:30" x14ac:dyDescent="0.2">
      <c r="C793" s="3" t="s">
        <v>135</v>
      </c>
      <c r="D793" s="19">
        <f>5025306/1000</f>
        <v>5025.3059999999996</v>
      </c>
      <c r="E793" s="19"/>
      <c r="F793" s="19"/>
      <c r="G793" s="19"/>
      <c r="H793" s="19">
        <f>5025306/1000</f>
        <v>5025.3059999999996</v>
      </c>
      <c r="I793" s="19"/>
      <c r="J793" s="19"/>
      <c r="K793" s="19"/>
      <c r="L793" s="19"/>
      <c r="M793" s="19"/>
      <c r="N793" s="19"/>
      <c r="O793" s="19"/>
      <c r="P793" s="19"/>
      <c r="Q793" s="19"/>
      <c r="R793" s="19">
        <v>0</v>
      </c>
      <c r="S793" s="19"/>
      <c r="T793" s="19"/>
      <c r="U793" s="19"/>
      <c r="V793" s="19"/>
      <c r="W793" s="19"/>
      <c r="X793" s="19"/>
      <c r="Y793" s="19">
        <f>+H793+R793</f>
        <v>5025.3059999999996</v>
      </c>
      <c r="Z793" s="19">
        <f t="shared" si="146"/>
        <v>0</v>
      </c>
      <c r="AA793" s="19"/>
      <c r="AB793" s="19"/>
      <c r="AC793" s="19"/>
      <c r="AD793" s="19"/>
    </row>
    <row r="794" spans="1:30" x14ac:dyDescent="0.2">
      <c r="C794" s="3" t="s">
        <v>259</v>
      </c>
      <c r="D794" s="19">
        <f>17760153/1000</f>
        <v>17760.152999999998</v>
      </c>
      <c r="E794" s="19"/>
      <c r="F794" s="19"/>
      <c r="G794" s="19"/>
      <c r="H794" s="19">
        <f>17760153/1000</f>
        <v>17760.152999999998</v>
      </c>
      <c r="I794" s="19"/>
      <c r="J794" s="19"/>
      <c r="K794" s="19"/>
      <c r="L794" s="19"/>
      <c r="M794" s="19"/>
      <c r="N794" s="19"/>
      <c r="O794" s="19"/>
      <c r="P794" s="19"/>
      <c r="Q794" s="19"/>
      <c r="R794" s="19">
        <v>0</v>
      </c>
      <c r="S794" s="19"/>
      <c r="T794" s="19"/>
      <c r="U794" s="19"/>
      <c r="V794" s="19"/>
      <c r="W794" s="19"/>
      <c r="X794" s="19"/>
      <c r="Y794" s="19">
        <f t="shared" si="147"/>
        <v>17760.152999999998</v>
      </c>
      <c r="Z794" s="19">
        <f t="shared" si="146"/>
        <v>0</v>
      </c>
      <c r="AA794" s="19"/>
      <c r="AB794" s="19"/>
      <c r="AC794" s="19"/>
      <c r="AD794" s="19"/>
    </row>
    <row r="795" spans="1:30" x14ac:dyDescent="0.2">
      <c r="C795" s="3" t="s">
        <v>67</v>
      </c>
      <c r="D795" s="19">
        <f>970045398/1000</f>
        <v>970045.39800000004</v>
      </c>
      <c r="E795" s="19">
        <f>[1]TOBEPAID!E603/1000</f>
        <v>261045.3983</v>
      </c>
      <c r="F795" s="19">
        <f>[1]TOBEPAID!F603/1000</f>
        <v>23000</v>
      </c>
      <c r="G795" s="19">
        <f>[1]TOBEPAID!G603/1000</f>
        <v>0</v>
      </c>
      <c r="H795" s="19">
        <f>970045398/1000</f>
        <v>970045.39800000004</v>
      </c>
      <c r="I795" s="19">
        <f>[1]TOBEPAID!I603/1000</f>
        <v>0</v>
      </c>
      <c r="J795" s="19">
        <f>[1]TOBEPAID!J603/1000</f>
        <v>0</v>
      </c>
      <c r="K795" s="19">
        <f>[1]TOBEPAID!K603/1000</f>
        <v>0</v>
      </c>
      <c r="L795" s="19">
        <f>[1]TOBEPAID!L603/1000</f>
        <v>0</v>
      </c>
      <c r="M795" s="19">
        <f>[1]TOBEPAID!M603/1000</f>
        <v>0</v>
      </c>
      <c r="N795" s="19">
        <f>[1]TOBEPAID!N603/1000</f>
        <v>284045.3983</v>
      </c>
      <c r="O795" s="19">
        <f>[1]TOBEPAID!O603/1000</f>
        <v>0</v>
      </c>
      <c r="P795" s="19">
        <f>[1]TOBEPAID!P603/1000</f>
        <v>0</v>
      </c>
      <c r="Q795" s="19">
        <f>[1]TOBEPAID!Q603/1000</f>
        <v>0</v>
      </c>
      <c r="R795" s="19">
        <f>[1]TOBEPAID!R603/1000</f>
        <v>0</v>
      </c>
      <c r="S795" s="19">
        <f>[1]TOBEPAID!S603/1000</f>
        <v>0</v>
      </c>
      <c r="T795" s="19">
        <f>[1]TOBEPAID!T603/1000</f>
        <v>0</v>
      </c>
      <c r="U795" s="19">
        <f>[1]TOBEPAID!U603/1000</f>
        <v>0</v>
      </c>
      <c r="V795" s="19">
        <f>[1]TOBEPAID!V603/1000</f>
        <v>0</v>
      </c>
      <c r="W795" s="19">
        <f>[1]TOBEPAID!W603/1000</f>
        <v>0</v>
      </c>
      <c r="X795" s="19">
        <f>[1]TOBEPAID!X603/1000</f>
        <v>0</v>
      </c>
      <c r="Y795" s="19">
        <f t="shared" si="147"/>
        <v>970045.39800000004</v>
      </c>
      <c r="Z795" s="19">
        <f t="shared" si="146"/>
        <v>0</v>
      </c>
      <c r="AA795" s="19">
        <f>[1]TOBEPAID!AA603/1000</f>
        <v>284045.3983</v>
      </c>
      <c r="AB795" s="19">
        <f>[1]TOBEPAID!AB603/1000</f>
        <v>0</v>
      </c>
      <c r="AC795" s="19"/>
      <c r="AD795" s="19"/>
    </row>
    <row r="796" spans="1:30" x14ac:dyDescent="0.2">
      <c r="A796" s="18"/>
      <c r="C796" s="3" t="s">
        <v>55</v>
      </c>
      <c r="D796" s="19">
        <v>0.36699999999999999</v>
      </c>
      <c r="E796" s="19">
        <f>[1]TOBEPAID!E604/1000</f>
        <v>0</v>
      </c>
      <c r="F796" s="19">
        <f>[1]TOBEPAID!F604/1000</f>
        <v>0</v>
      </c>
      <c r="G796" s="19">
        <f>[1]TOBEPAID!G604/1000</f>
        <v>0</v>
      </c>
      <c r="H796" s="19">
        <v>0</v>
      </c>
      <c r="I796" s="19">
        <f>[1]TOBEPAID!I604/1000</f>
        <v>0</v>
      </c>
      <c r="J796" s="19">
        <f>[1]TOBEPAID!J604/1000</f>
        <v>0</v>
      </c>
      <c r="K796" s="19">
        <f>[1]TOBEPAID!K604/1000</f>
        <v>0</v>
      </c>
      <c r="L796" s="19">
        <f>[1]TOBEPAID!L604/1000</f>
        <v>0</v>
      </c>
      <c r="M796" s="19">
        <f>[1]TOBEPAID!M604/1000</f>
        <v>0</v>
      </c>
      <c r="N796" s="19">
        <f>[1]TOBEPAID!N604/1000</f>
        <v>0</v>
      </c>
      <c r="O796" s="19">
        <f>[1]TOBEPAID!O604/1000</f>
        <v>0</v>
      </c>
      <c r="P796" s="19">
        <f>[1]TOBEPAID!P604/1000</f>
        <v>0</v>
      </c>
      <c r="Q796" s="19">
        <f>[1]TOBEPAID!Q604/1000</f>
        <v>0</v>
      </c>
      <c r="R796" s="19">
        <f>[1]TOBEPAID!R604/1000</f>
        <v>0</v>
      </c>
      <c r="S796" s="19">
        <f>[1]TOBEPAID!S604/1000</f>
        <v>0</v>
      </c>
      <c r="T796" s="19">
        <f>[1]TOBEPAID!T604/1000</f>
        <v>0</v>
      </c>
      <c r="U796" s="19">
        <f>[1]TOBEPAID!U604/1000</f>
        <v>0</v>
      </c>
      <c r="V796" s="19">
        <f>[1]TOBEPAID!V604/1000</f>
        <v>0</v>
      </c>
      <c r="W796" s="19">
        <f>[1]TOBEPAID!W604/1000</f>
        <v>0</v>
      </c>
      <c r="X796" s="19">
        <f>[1]TOBEPAID!X604/1000</f>
        <v>0</v>
      </c>
      <c r="Y796" s="19">
        <f t="shared" si="147"/>
        <v>0</v>
      </c>
      <c r="Z796" s="19">
        <f t="shared" si="146"/>
        <v>0.36699999999999999</v>
      </c>
      <c r="AA796" s="19">
        <f>[1]TOBEPAID!AA604/1000</f>
        <v>0</v>
      </c>
      <c r="AB796" s="19">
        <f>[1]TOBEPAID!AB604/1000</f>
        <v>1351.5829899999999</v>
      </c>
      <c r="AC796" s="19"/>
      <c r="AD796" s="19"/>
    </row>
    <row r="797" spans="1:30" x14ac:dyDescent="0.2">
      <c r="A797" s="18"/>
      <c r="D797" s="21" t="s">
        <v>57</v>
      </c>
      <c r="E797" s="21" t="s">
        <v>57</v>
      </c>
      <c r="F797" s="21" t="s">
        <v>57</v>
      </c>
      <c r="G797" s="21"/>
      <c r="H797" s="21" t="s">
        <v>57</v>
      </c>
      <c r="I797" s="21" t="s">
        <v>57</v>
      </c>
      <c r="J797" s="21" t="s">
        <v>57</v>
      </c>
      <c r="K797" s="21" t="s">
        <v>57</v>
      </c>
      <c r="L797" s="21" t="s">
        <v>57</v>
      </c>
      <c r="M797" s="21"/>
      <c r="N797" s="21" t="s">
        <v>57</v>
      </c>
      <c r="O797" s="21" t="s">
        <v>57</v>
      </c>
      <c r="P797" s="21" t="s">
        <v>57</v>
      </c>
      <c r="Q797" s="21"/>
      <c r="R797" s="21" t="s">
        <v>57</v>
      </c>
      <c r="S797" s="21" t="s">
        <v>57</v>
      </c>
      <c r="T797" s="21" t="s">
        <v>57</v>
      </c>
      <c r="U797" s="21" t="s">
        <v>57</v>
      </c>
      <c r="V797" s="21" t="s">
        <v>57</v>
      </c>
      <c r="W797" s="21"/>
      <c r="X797" s="21" t="s">
        <v>57</v>
      </c>
      <c r="Y797" s="21" t="s">
        <v>57</v>
      </c>
      <c r="Z797" s="21" t="s">
        <v>57</v>
      </c>
      <c r="AA797" s="21" t="s">
        <v>57</v>
      </c>
      <c r="AB797" s="21" t="s">
        <v>57</v>
      </c>
      <c r="AC797" s="21"/>
      <c r="AD797" s="21"/>
    </row>
    <row r="798" spans="1:30" x14ac:dyDescent="0.2">
      <c r="A798" s="18"/>
      <c r="D798" s="30">
        <f>SUM(D787:D796)</f>
        <v>1093856.2420000001</v>
      </c>
      <c r="E798" s="30">
        <f>SUM(E788:E796)</f>
        <v>299190.1643</v>
      </c>
      <c r="F798" s="30">
        <f>SUM(F788:F796)</f>
        <v>23000</v>
      </c>
      <c r="G798" s="30"/>
      <c r="H798" s="30">
        <f>SUM(H787:H796)</f>
        <v>1084518.943</v>
      </c>
      <c r="I798" s="30">
        <f>SUM(I788:I796)</f>
        <v>0</v>
      </c>
      <c r="J798" s="30">
        <f>SUM(J788:J796)</f>
        <v>0</v>
      </c>
      <c r="K798" s="30">
        <f>SUM(K788:K796)</f>
        <v>0</v>
      </c>
      <c r="L798" s="30">
        <f>SUM(L788:L796)</f>
        <v>0</v>
      </c>
      <c r="M798" s="30"/>
      <c r="N798" s="30">
        <f>SUM(N788:N796)</f>
        <v>322190.1643</v>
      </c>
      <c r="O798" s="30">
        <f>SUM(O788:O796)</f>
        <v>8484.7322499999991</v>
      </c>
      <c r="P798" s="30">
        <f>SUM(P788:P796)</f>
        <v>0</v>
      </c>
      <c r="Q798" s="30"/>
      <c r="R798" s="30">
        <f>SUM(R788:R796)</f>
        <v>9336.9320000000007</v>
      </c>
      <c r="S798" s="30">
        <f>SUM(S788:S796)</f>
        <v>0</v>
      </c>
      <c r="T798" s="30">
        <f>SUM(T788:T796)</f>
        <v>0</v>
      </c>
      <c r="U798" s="30">
        <f>SUM(U788:U796)</f>
        <v>0</v>
      </c>
      <c r="V798" s="30">
        <f>SUM(V788:V796)</f>
        <v>0</v>
      </c>
      <c r="W798" s="30"/>
      <c r="X798" s="30">
        <f>SUM(X788:X796)</f>
        <v>8484.7322499999991</v>
      </c>
      <c r="Y798" s="30">
        <f>SUM(Y787:Y796)</f>
        <v>1093855.875</v>
      </c>
      <c r="Z798" s="30">
        <f>SUM(Z787:Z796)</f>
        <v>0.36699999999999999</v>
      </c>
      <c r="AA798" s="30">
        <f>SUM(AA788:AA796)</f>
        <v>330674.89655</v>
      </c>
      <c r="AB798" s="30">
        <f>SUM(AB787:AB796)</f>
        <v>52641.512760000005</v>
      </c>
      <c r="AC798" s="30"/>
      <c r="AD798" s="30"/>
    </row>
    <row r="799" spans="1:30" x14ac:dyDescent="0.2">
      <c r="A799" s="18"/>
      <c r="D799" s="21" t="s">
        <v>57</v>
      </c>
      <c r="E799" s="21" t="s">
        <v>57</v>
      </c>
      <c r="F799" s="21" t="s">
        <v>57</v>
      </c>
      <c r="G799" s="21"/>
      <c r="H799" s="21" t="s">
        <v>57</v>
      </c>
      <c r="I799" s="21" t="s">
        <v>57</v>
      </c>
      <c r="J799" s="21" t="s">
        <v>57</v>
      </c>
      <c r="K799" s="21" t="s">
        <v>57</v>
      </c>
      <c r="L799" s="21" t="s">
        <v>57</v>
      </c>
      <c r="M799" s="21"/>
      <c r="N799" s="21" t="s">
        <v>57</v>
      </c>
      <c r="O799" s="21" t="s">
        <v>57</v>
      </c>
      <c r="P799" s="21" t="s">
        <v>57</v>
      </c>
      <c r="Q799" s="21"/>
      <c r="R799" s="21" t="s">
        <v>57</v>
      </c>
      <c r="S799" s="21" t="s">
        <v>57</v>
      </c>
      <c r="T799" s="21" t="s">
        <v>57</v>
      </c>
      <c r="U799" s="21" t="s">
        <v>57</v>
      </c>
      <c r="V799" s="21" t="s">
        <v>57</v>
      </c>
      <c r="W799" s="21"/>
      <c r="X799" s="21" t="s">
        <v>57</v>
      </c>
      <c r="Y799" s="21" t="s">
        <v>57</v>
      </c>
      <c r="Z799" s="21" t="s">
        <v>57</v>
      </c>
      <c r="AA799" s="21" t="s">
        <v>57</v>
      </c>
      <c r="AB799" s="21" t="s">
        <v>57</v>
      </c>
      <c r="AC799" s="21"/>
      <c r="AD799" s="21"/>
    </row>
    <row r="800" spans="1:30" x14ac:dyDescent="0.2">
      <c r="A800" s="18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1:30" x14ac:dyDescent="0.2">
      <c r="A801" s="18">
        <v>59</v>
      </c>
      <c r="B801" s="3" t="s">
        <v>265</v>
      </c>
      <c r="C801" s="17" t="s">
        <v>51</v>
      </c>
      <c r="D801" s="19">
        <f>12258201/1000</f>
        <v>12258.200999999999</v>
      </c>
      <c r="E801" s="19">
        <f>[1]TOBEPAID!E608/1000</f>
        <v>0</v>
      </c>
      <c r="F801" s="19">
        <f>[1]TOBEPAID!F608/1000</f>
        <v>0</v>
      </c>
      <c r="G801" s="19">
        <f>[1]TOBEPAID!G608/1000</f>
        <v>0</v>
      </c>
      <c r="H801" s="19">
        <v>0</v>
      </c>
      <c r="I801" s="19">
        <f>[1]TOBEPAID!I608/1000</f>
        <v>0</v>
      </c>
      <c r="J801" s="19">
        <f>[1]TOBEPAID!J608/1000</f>
        <v>0</v>
      </c>
      <c r="K801" s="19">
        <f>[1]TOBEPAID!K608/1000</f>
        <v>0</v>
      </c>
      <c r="L801" s="19">
        <f>[1]TOBEPAID!L608/1000</f>
        <v>0</v>
      </c>
      <c r="M801" s="19">
        <f>[1]TOBEPAID!M608/1000</f>
        <v>0</v>
      </c>
      <c r="N801" s="19">
        <f>[1]TOBEPAID!N608/1000</f>
        <v>0</v>
      </c>
      <c r="O801" s="19">
        <f>[1]TOBEPAID!O608/1000</f>
        <v>8805.2316900000005</v>
      </c>
      <c r="P801" s="19">
        <f>[1]TOBEPAID!P608/1000</f>
        <v>0</v>
      </c>
      <c r="Q801" s="19">
        <f>[1]TOBEPAID!Q608/1000</f>
        <v>0</v>
      </c>
      <c r="R801" s="19">
        <f>8804479.65/1000</f>
        <v>8804.4796500000011</v>
      </c>
      <c r="S801" s="19">
        <f>[1]TOBEPAID!S608/1000</f>
        <v>0</v>
      </c>
      <c r="T801" s="19">
        <f>[1]TOBEPAID!T608/1000</f>
        <v>0</v>
      </c>
      <c r="U801" s="19">
        <f>[1]TOBEPAID!U608/1000</f>
        <v>0</v>
      </c>
      <c r="V801" s="19">
        <f>[1]TOBEPAID!V608/1000</f>
        <v>0</v>
      </c>
      <c r="W801" s="19">
        <f>[1]TOBEPAID!W608/1000</f>
        <v>0</v>
      </c>
      <c r="X801" s="19">
        <f>[1]TOBEPAID!X608/1000</f>
        <v>8805.2316900000005</v>
      </c>
      <c r="Y801" s="19">
        <f t="shared" ref="Y801:Y807" si="148">+H801+R801</f>
        <v>8804.4796500000011</v>
      </c>
      <c r="Z801" s="19">
        <f t="shared" ref="Z801:Z807" si="149">+D801-Y801</f>
        <v>3453.721349999998</v>
      </c>
      <c r="AA801" s="19">
        <f>[1]TOBEPAID!AA608/1000</f>
        <v>8805.2316900000005</v>
      </c>
      <c r="AB801" s="19">
        <f>[1]TOBEPAID!AB608/1000</f>
        <v>-106.5719600000009</v>
      </c>
      <c r="AC801" s="19"/>
      <c r="AD801" s="19"/>
    </row>
    <row r="802" spans="1:30" x14ac:dyDescent="0.2">
      <c r="A802" s="18"/>
      <c r="C802" s="3" t="s">
        <v>52</v>
      </c>
      <c r="D802" s="19">
        <f>2191296/1000</f>
        <v>2191.2959999999998</v>
      </c>
      <c r="E802" s="19">
        <f>[1]TOBEPAID!E609/1000</f>
        <v>2191.2959999999998</v>
      </c>
      <c r="F802" s="19">
        <f>[1]TOBEPAID!F609/1000</f>
        <v>0</v>
      </c>
      <c r="G802" s="19">
        <f>[1]TOBEPAID!G609/1000</f>
        <v>0</v>
      </c>
      <c r="H802" s="19">
        <f>2191296/1000</f>
        <v>2191.2959999999998</v>
      </c>
      <c r="I802" s="19">
        <f>[1]TOBEPAID!I609/1000</f>
        <v>0</v>
      </c>
      <c r="J802" s="19">
        <f>[1]TOBEPAID!J609/1000</f>
        <v>0</v>
      </c>
      <c r="K802" s="19">
        <f>[1]TOBEPAID!K609/1000</f>
        <v>0</v>
      </c>
      <c r="L802" s="19">
        <f>[1]TOBEPAID!L609/1000</f>
        <v>0</v>
      </c>
      <c r="M802" s="19">
        <f>[1]TOBEPAID!M609/1000</f>
        <v>0</v>
      </c>
      <c r="N802" s="19">
        <f>[1]TOBEPAID!N609/1000</f>
        <v>2191.2959999999998</v>
      </c>
      <c r="O802" s="19">
        <f>[1]TOBEPAID!O609/1000</f>
        <v>0</v>
      </c>
      <c r="P802" s="19">
        <f>[1]TOBEPAID!P609/1000</f>
        <v>0</v>
      </c>
      <c r="Q802" s="19">
        <f>[1]TOBEPAID!Q609/1000</f>
        <v>0</v>
      </c>
      <c r="R802" s="19">
        <v>0</v>
      </c>
      <c r="S802" s="19">
        <f>[1]TOBEPAID!S609/1000</f>
        <v>0</v>
      </c>
      <c r="T802" s="19">
        <f>[1]TOBEPAID!T609/1000</f>
        <v>0</v>
      </c>
      <c r="U802" s="19">
        <f>[1]TOBEPAID!U609/1000</f>
        <v>0</v>
      </c>
      <c r="V802" s="19">
        <f>[1]TOBEPAID!V609/1000</f>
        <v>0</v>
      </c>
      <c r="W802" s="19">
        <f>[1]TOBEPAID!W609/1000</f>
        <v>0</v>
      </c>
      <c r="X802" s="19">
        <f>[1]TOBEPAID!X609/1000</f>
        <v>0</v>
      </c>
      <c r="Y802" s="19">
        <f t="shared" si="148"/>
        <v>2191.2959999999998</v>
      </c>
      <c r="Z802" s="19">
        <f t="shared" si="149"/>
        <v>0</v>
      </c>
      <c r="AA802" s="19">
        <f>[1]TOBEPAID!AA609/1000</f>
        <v>2191.2959999999998</v>
      </c>
      <c r="AB802" s="19">
        <f>[1]TOBEPAID!AB609/1000</f>
        <v>0</v>
      </c>
      <c r="AC802" s="19"/>
      <c r="AD802" s="19"/>
    </row>
    <row r="803" spans="1:30" x14ac:dyDescent="0.2">
      <c r="A803" s="18"/>
      <c r="C803" s="3" t="s">
        <v>126</v>
      </c>
      <c r="D803" s="19">
        <f>220000000/1000</f>
        <v>220000</v>
      </c>
      <c r="E803" s="19"/>
      <c r="F803" s="19"/>
      <c r="G803" s="19"/>
      <c r="H803" s="19">
        <f>55000000/1000</f>
        <v>55000</v>
      </c>
      <c r="I803" s="19"/>
      <c r="J803" s="19"/>
      <c r="K803" s="19"/>
      <c r="L803" s="19"/>
      <c r="M803" s="19"/>
      <c r="N803" s="19"/>
      <c r="O803" s="19"/>
      <c r="P803" s="19"/>
      <c r="Q803" s="19"/>
      <c r="R803" s="19">
        <v>0</v>
      </c>
      <c r="S803" s="19"/>
      <c r="T803" s="19"/>
      <c r="U803" s="19"/>
      <c r="V803" s="19"/>
      <c r="W803" s="19"/>
      <c r="X803" s="19"/>
      <c r="Y803" s="19">
        <f>+H803+R803</f>
        <v>55000</v>
      </c>
      <c r="Z803" s="19">
        <f>+D803-Y803</f>
        <v>165000</v>
      </c>
      <c r="AA803" s="19"/>
      <c r="AB803" s="19"/>
      <c r="AC803" s="19"/>
      <c r="AD803" s="19"/>
    </row>
    <row r="804" spans="1:30" x14ac:dyDescent="0.2">
      <c r="A804" s="18"/>
      <c r="C804" s="3" t="s">
        <v>87</v>
      </c>
      <c r="D804" s="19">
        <f>10468432/1000</f>
        <v>10468.432000000001</v>
      </c>
      <c r="E804" s="19">
        <f>[1]TOBEPAID!E610/1000</f>
        <v>0</v>
      </c>
      <c r="F804" s="19">
        <f>[1]TOBEPAID!F610/1000</f>
        <v>0</v>
      </c>
      <c r="G804" s="19">
        <f>[1]TOBEPAID!G610/1000</f>
        <v>0</v>
      </c>
      <c r="H804" s="19">
        <v>0</v>
      </c>
      <c r="I804" s="19">
        <f>[1]TOBEPAID!I610/1000</f>
        <v>0</v>
      </c>
      <c r="J804" s="19">
        <f>[1]TOBEPAID!J610/1000</f>
        <v>0</v>
      </c>
      <c r="K804" s="19">
        <f>[1]TOBEPAID!K610/1000</f>
        <v>0</v>
      </c>
      <c r="L804" s="19">
        <f>[1]TOBEPAID!L610/1000</f>
        <v>0</v>
      </c>
      <c r="M804" s="19">
        <f>[1]TOBEPAID!M610/1000</f>
        <v>0</v>
      </c>
      <c r="N804" s="19">
        <f>[1]TOBEPAID!N610/1000</f>
        <v>0</v>
      </c>
      <c r="O804" s="19">
        <f>[1]TOBEPAID!O610/1000</f>
        <v>10468.432160000002</v>
      </c>
      <c r="P804" s="19">
        <f>[1]TOBEPAID!P610/1000</f>
        <v>0</v>
      </c>
      <c r="Q804" s="19">
        <f>[1]TOBEPAID!Q610/1000</f>
        <v>0</v>
      </c>
      <c r="R804" s="19">
        <f>10468432/1000</f>
        <v>10468.432000000001</v>
      </c>
      <c r="S804" s="19">
        <f>[1]TOBEPAID!S610/1000</f>
        <v>0</v>
      </c>
      <c r="T804" s="19">
        <f>[1]TOBEPAID!T610/1000</f>
        <v>0</v>
      </c>
      <c r="U804" s="19">
        <f>[1]TOBEPAID!U610/1000</f>
        <v>0</v>
      </c>
      <c r="V804" s="19">
        <f>[1]TOBEPAID!V610/1000</f>
        <v>0</v>
      </c>
      <c r="W804" s="19">
        <f>[1]TOBEPAID!W610/1000</f>
        <v>0</v>
      </c>
      <c r="X804" s="19">
        <f>[1]TOBEPAID!X610/1000</f>
        <v>10468.432160000002</v>
      </c>
      <c r="Y804" s="19">
        <f t="shared" si="148"/>
        <v>10468.432000000001</v>
      </c>
      <c r="Z804" s="19">
        <f t="shared" si="149"/>
        <v>0</v>
      </c>
      <c r="AA804" s="19">
        <f>[1]TOBEPAID!AA610/1000</f>
        <v>10468.432160000002</v>
      </c>
      <c r="AB804" s="19">
        <f>[1]TOBEPAID!AB610/1000</f>
        <v>0</v>
      </c>
      <c r="AC804" s="19"/>
      <c r="AD804" s="19"/>
    </row>
    <row r="805" spans="1:30" x14ac:dyDescent="0.2">
      <c r="A805" s="18"/>
      <c r="C805" s="3" t="s">
        <v>55</v>
      </c>
      <c r="D805" s="19">
        <v>0</v>
      </c>
      <c r="E805" s="19">
        <f>[1]TOBEPAID!E611/1000</f>
        <v>0</v>
      </c>
      <c r="F805" s="19">
        <f>[1]TOBEPAID!F611/1000</f>
        <v>0</v>
      </c>
      <c r="G805" s="19">
        <f>[1]TOBEPAID!G611/1000</f>
        <v>0</v>
      </c>
      <c r="H805" s="19">
        <v>0</v>
      </c>
      <c r="I805" s="19">
        <f>[1]TOBEPAID!I611/1000</f>
        <v>0</v>
      </c>
      <c r="J805" s="19">
        <f>[1]TOBEPAID!J611/1000</f>
        <v>0</v>
      </c>
      <c r="K805" s="19">
        <f>[1]TOBEPAID!K611/1000</f>
        <v>0</v>
      </c>
      <c r="L805" s="19">
        <f>[1]TOBEPAID!L611/1000</f>
        <v>0</v>
      </c>
      <c r="M805" s="19">
        <f>[1]TOBEPAID!M611/1000</f>
        <v>0</v>
      </c>
      <c r="N805" s="19">
        <f>[1]TOBEPAID!N611/1000</f>
        <v>0</v>
      </c>
      <c r="O805" s="19">
        <f>[1]TOBEPAID!O611/1000</f>
        <v>0</v>
      </c>
      <c r="P805" s="19">
        <f>[1]TOBEPAID!P611/1000</f>
        <v>0</v>
      </c>
      <c r="Q805" s="19">
        <f>[1]TOBEPAID!Q611/1000</f>
        <v>0</v>
      </c>
      <c r="R805" s="19">
        <v>0</v>
      </c>
      <c r="S805" s="19">
        <f>[1]TOBEPAID!S611/1000</f>
        <v>0</v>
      </c>
      <c r="T805" s="19">
        <f>[1]TOBEPAID!T611/1000</f>
        <v>0</v>
      </c>
      <c r="U805" s="19">
        <f>[1]TOBEPAID!U611/1000</f>
        <v>0</v>
      </c>
      <c r="V805" s="19">
        <f>[1]TOBEPAID!V611/1000</f>
        <v>0</v>
      </c>
      <c r="W805" s="19">
        <f>[1]TOBEPAID!W611/1000</f>
        <v>0</v>
      </c>
      <c r="X805" s="19">
        <f>[1]TOBEPAID!X611/1000</f>
        <v>0</v>
      </c>
      <c r="Y805" s="19">
        <f t="shared" si="148"/>
        <v>0</v>
      </c>
      <c r="Z805" s="19">
        <f t="shared" si="149"/>
        <v>0</v>
      </c>
      <c r="AA805" s="19">
        <f>[1]TOBEPAID!AA611/1000</f>
        <v>0</v>
      </c>
      <c r="AB805" s="19">
        <f>[1]TOBEPAID!AB611/1000</f>
        <v>350.83046000000002</v>
      </c>
      <c r="AC805" s="19"/>
      <c r="AD805" s="19"/>
    </row>
    <row r="806" spans="1:30" x14ac:dyDescent="0.2">
      <c r="A806" s="18"/>
      <c r="C806" s="3" t="s">
        <v>88</v>
      </c>
      <c r="D806" s="19">
        <v>0</v>
      </c>
      <c r="E806" s="19">
        <f>[1]TOBEPAID!E612/1000</f>
        <v>0</v>
      </c>
      <c r="F806" s="19">
        <f>[1]TOBEPAID!F612/1000</f>
        <v>0</v>
      </c>
      <c r="G806" s="19">
        <f>[1]TOBEPAID!G612/1000</f>
        <v>0</v>
      </c>
      <c r="H806" s="19">
        <v>0</v>
      </c>
      <c r="I806" s="19">
        <f>[1]TOBEPAID!I612/1000</f>
        <v>0</v>
      </c>
      <c r="J806" s="19">
        <f>[1]TOBEPAID!J612/1000</f>
        <v>0</v>
      </c>
      <c r="K806" s="19">
        <f>[1]TOBEPAID!K612/1000</f>
        <v>0</v>
      </c>
      <c r="L806" s="19">
        <f>[1]TOBEPAID!L612/1000</f>
        <v>0</v>
      </c>
      <c r="M806" s="19">
        <f>[1]TOBEPAID!M612/1000</f>
        <v>0</v>
      </c>
      <c r="N806" s="19">
        <f>[1]TOBEPAID!N612/1000</f>
        <v>0</v>
      </c>
      <c r="O806" s="19">
        <f>[1]TOBEPAID!O612/1000</f>
        <v>0</v>
      </c>
      <c r="P806" s="19">
        <f>[1]TOBEPAID!P612/1000</f>
        <v>0</v>
      </c>
      <c r="Q806" s="19">
        <f>[1]TOBEPAID!Q612/1000</f>
        <v>0</v>
      </c>
      <c r="R806" s="19">
        <v>0</v>
      </c>
      <c r="S806" s="19">
        <f>[1]TOBEPAID!S612/1000</f>
        <v>0</v>
      </c>
      <c r="T806" s="19">
        <f>[1]TOBEPAID!T612/1000</f>
        <v>0</v>
      </c>
      <c r="U806" s="19">
        <f>[1]TOBEPAID!U612/1000</f>
        <v>0</v>
      </c>
      <c r="V806" s="19">
        <f>[1]TOBEPAID!V612/1000</f>
        <v>0</v>
      </c>
      <c r="W806" s="19">
        <f>[1]TOBEPAID!W612/1000</f>
        <v>0</v>
      </c>
      <c r="X806" s="19">
        <f>[1]TOBEPAID!X612/1000</f>
        <v>0</v>
      </c>
      <c r="Y806" s="19">
        <f t="shared" si="148"/>
        <v>0</v>
      </c>
      <c r="Z806" s="19">
        <f t="shared" si="149"/>
        <v>0</v>
      </c>
      <c r="AA806" s="19">
        <f>[1]TOBEPAID!AA612/1000</f>
        <v>0</v>
      </c>
      <c r="AB806" s="19">
        <f>[1]TOBEPAID!AB612/1000</f>
        <v>0</v>
      </c>
      <c r="AC806" s="19"/>
      <c r="AD806" s="19"/>
    </row>
    <row r="807" spans="1:30" x14ac:dyDescent="0.2">
      <c r="A807" s="18"/>
      <c r="C807" s="3" t="s">
        <v>237</v>
      </c>
      <c r="D807" s="19">
        <f>6791289/1000</f>
        <v>6791.2889999999998</v>
      </c>
      <c r="E807" s="19">
        <f>[1]TOBEPAID!E613/1000</f>
        <v>6791.2891600000003</v>
      </c>
      <c r="F807" s="19">
        <f>[1]TOBEPAID!F613/1000</f>
        <v>0</v>
      </c>
      <c r="G807" s="19">
        <f>[1]TOBEPAID!G613/1000</f>
        <v>0</v>
      </c>
      <c r="H807" s="19">
        <f>6791289/1000</f>
        <v>6791.2889999999998</v>
      </c>
      <c r="I807" s="19">
        <f>[1]TOBEPAID!I613/1000</f>
        <v>0</v>
      </c>
      <c r="J807" s="19">
        <f>[1]TOBEPAID!J613/1000</f>
        <v>0</v>
      </c>
      <c r="K807" s="19">
        <f>[1]TOBEPAID!K613/1000</f>
        <v>0</v>
      </c>
      <c r="L807" s="19">
        <f>[1]TOBEPAID!L613/1000</f>
        <v>0</v>
      </c>
      <c r="M807" s="19">
        <f>[1]TOBEPAID!M613/1000</f>
        <v>0</v>
      </c>
      <c r="N807" s="19">
        <f>[1]TOBEPAID!N613/1000</f>
        <v>6791.2891600000003</v>
      </c>
      <c r="O807" s="19">
        <f>[1]TOBEPAID!O613/1000</f>
        <v>0</v>
      </c>
      <c r="P807" s="19">
        <f>[1]TOBEPAID!P613/1000</f>
        <v>0</v>
      </c>
      <c r="Q807" s="19">
        <f>[1]TOBEPAID!Q613/1000</f>
        <v>0</v>
      </c>
      <c r="R807" s="19">
        <v>0</v>
      </c>
      <c r="S807" s="19">
        <f>[1]TOBEPAID!S613/1000</f>
        <v>0</v>
      </c>
      <c r="T807" s="19">
        <f>[1]TOBEPAID!T613/1000</f>
        <v>0</v>
      </c>
      <c r="U807" s="19">
        <f>[1]TOBEPAID!U613/1000</f>
        <v>0</v>
      </c>
      <c r="V807" s="19">
        <f>[1]TOBEPAID!V613/1000</f>
        <v>0</v>
      </c>
      <c r="W807" s="19">
        <f>[1]TOBEPAID!W613/1000</f>
        <v>0</v>
      </c>
      <c r="X807" s="19">
        <f>[1]TOBEPAID!X613/1000</f>
        <v>0</v>
      </c>
      <c r="Y807" s="19">
        <f t="shared" si="148"/>
        <v>6791.2889999999998</v>
      </c>
      <c r="Z807" s="19">
        <f t="shared" si="149"/>
        <v>0</v>
      </c>
      <c r="AA807" s="19">
        <f>[1]TOBEPAID!AA613/1000</f>
        <v>6791.2891600000003</v>
      </c>
      <c r="AB807" s="19">
        <f>[1]TOBEPAID!AB613/1000</f>
        <v>3208.7108399999997</v>
      </c>
      <c r="AC807" s="19"/>
      <c r="AD807" s="19"/>
    </row>
    <row r="808" spans="1:30" x14ac:dyDescent="0.2">
      <c r="A808" s="18"/>
      <c r="D808" s="21" t="s">
        <v>57</v>
      </c>
      <c r="E808" s="21" t="s">
        <v>57</v>
      </c>
      <c r="F808" s="21" t="s">
        <v>57</v>
      </c>
      <c r="G808" s="21"/>
      <c r="H808" s="21" t="s">
        <v>57</v>
      </c>
      <c r="I808" s="21" t="s">
        <v>57</v>
      </c>
      <c r="J808" s="21" t="s">
        <v>57</v>
      </c>
      <c r="K808" s="21" t="s">
        <v>57</v>
      </c>
      <c r="L808" s="21" t="s">
        <v>57</v>
      </c>
      <c r="M808" s="21"/>
      <c r="N808" s="21" t="s">
        <v>57</v>
      </c>
      <c r="O808" s="21" t="s">
        <v>57</v>
      </c>
      <c r="P808" s="21" t="s">
        <v>57</v>
      </c>
      <c r="Q808" s="21"/>
      <c r="R808" s="21" t="s">
        <v>57</v>
      </c>
      <c r="S808" s="21" t="s">
        <v>57</v>
      </c>
      <c r="T808" s="21" t="s">
        <v>57</v>
      </c>
      <c r="U808" s="21" t="s">
        <v>57</v>
      </c>
      <c r="V808" s="21" t="s">
        <v>57</v>
      </c>
      <c r="W808" s="21"/>
      <c r="X808" s="21" t="s">
        <v>57</v>
      </c>
      <c r="Y808" s="21" t="s">
        <v>57</v>
      </c>
      <c r="Z808" s="21" t="s">
        <v>57</v>
      </c>
      <c r="AA808" s="21" t="s">
        <v>57</v>
      </c>
      <c r="AB808" s="21" t="s">
        <v>57</v>
      </c>
      <c r="AC808" s="21"/>
      <c r="AD808" s="21"/>
    </row>
    <row r="809" spans="1:30" x14ac:dyDescent="0.2">
      <c r="A809" s="18"/>
      <c r="D809" s="30">
        <f>SUM(D801:D807)</f>
        <v>251709.21799999999</v>
      </c>
      <c r="E809" s="30">
        <f t="shared" ref="E809:V809" si="150">SUM(E801:E807)</f>
        <v>8982.5851600000005</v>
      </c>
      <c r="F809" s="30">
        <f t="shared" si="150"/>
        <v>0</v>
      </c>
      <c r="G809" s="30"/>
      <c r="H809" s="19">
        <f>SUM(H801:H807)</f>
        <v>63982.584999999999</v>
      </c>
      <c r="I809" s="30">
        <f t="shared" si="150"/>
        <v>0</v>
      </c>
      <c r="J809" s="30">
        <f t="shared" si="150"/>
        <v>0</v>
      </c>
      <c r="K809" s="30">
        <f t="shared" si="150"/>
        <v>0</v>
      </c>
      <c r="L809" s="30">
        <f t="shared" si="150"/>
        <v>0</v>
      </c>
      <c r="M809" s="30"/>
      <c r="N809" s="19">
        <f>H809+L809</f>
        <v>63982.584999999999</v>
      </c>
      <c r="O809" s="30">
        <f>SUM(O801:O807)</f>
        <v>19273.663850000004</v>
      </c>
      <c r="P809" s="30">
        <f t="shared" si="150"/>
        <v>0</v>
      </c>
      <c r="Q809" s="30"/>
      <c r="R809" s="19">
        <f>+R801+R802+R804+R805+R806+R807</f>
        <v>19272.911650000002</v>
      </c>
      <c r="S809" s="30">
        <f t="shared" si="150"/>
        <v>0</v>
      </c>
      <c r="T809" s="30">
        <f t="shared" si="150"/>
        <v>0</v>
      </c>
      <c r="U809" s="30">
        <f t="shared" si="150"/>
        <v>0</v>
      </c>
      <c r="V809" s="30">
        <f t="shared" si="150"/>
        <v>0</v>
      </c>
      <c r="W809" s="30"/>
      <c r="X809" s="19">
        <f>+R809+V809</f>
        <v>19272.911650000002</v>
      </c>
      <c r="Y809" s="19">
        <f>R809+H809</f>
        <v>83255.496650000001</v>
      </c>
      <c r="Z809" s="19">
        <f>D809-Y809</f>
        <v>168453.72135000001</v>
      </c>
      <c r="AA809" s="19">
        <f>N809+X809</f>
        <v>83255.496650000001</v>
      </c>
      <c r="AB809" s="19">
        <f>D809-AA809</f>
        <v>168453.72135000001</v>
      </c>
      <c r="AC809" s="19"/>
      <c r="AD809" s="19"/>
    </row>
    <row r="810" spans="1:30" x14ac:dyDescent="0.2">
      <c r="A810" s="18"/>
      <c r="D810" s="21" t="s">
        <v>57</v>
      </c>
      <c r="E810" s="21" t="s">
        <v>57</v>
      </c>
      <c r="F810" s="21" t="s">
        <v>57</v>
      </c>
      <c r="G810" s="21"/>
      <c r="H810" s="21" t="s">
        <v>57</v>
      </c>
      <c r="I810" s="21" t="s">
        <v>57</v>
      </c>
      <c r="J810" s="21" t="s">
        <v>57</v>
      </c>
      <c r="K810" s="21" t="s">
        <v>57</v>
      </c>
      <c r="L810" s="21" t="s">
        <v>57</v>
      </c>
      <c r="M810" s="21"/>
      <c r="N810" s="21" t="s">
        <v>57</v>
      </c>
      <c r="O810" s="21" t="s">
        <v>57</v>
      </c>
      <c r="P810" s="21" t="s">
        <v>57</v>
      </c>
      <c r="Q810" s="21"/>
      <c r="R810" s="21" t="s">
        <v>57</v>
      </c>
      <c r="S810" s="21" t="s">
        <v>57</v>
      </c>
      <c r="T810" s="21" t="s">
        <v>57</v>
      </c>
      <c r="U810" s="21" t="s">
        <v>57</v>
      </c>
      <c r="V810" s="21" t="s">
        <v>57</v>
      </c>
      <c r="W810" s="21"/>
      <c r="X810" s="21"/>
      <c r="Y810" s="21" t="s">
        <v>57</v>
      </c>
      <c r="Z810" s="21" t="s">
        <v>57</v>
      </c>
      <c r="AA810" s="21" t="s">
        <v>57</v>
      </c>
      <c r="AB810" s="21" t="s">
        <v>57</v>
      </c>
      <c r="AC810" s="21"/>
      <c r="AD810" s="21"/>
    </row>
    <row r="811" spans="1:30" x14ac:dyDescent="0.2">
      <c r="A811" s="18"/>
      <c r="B811" s="22"/>
      <c r="D811" s="42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64"/>
      <c r="P811" s="38"/>
      <c r="Q811" s="62"/>
      <c r="R811" s="42"/>
      <c r="S811" s="21"/>
      <c r="T811" s="21"/>
      <c r="U811" s="21"/>
      <c r="V811" s="65"/>
      <c r="W811" s="21"/>
      <c r="X811" s="21"/>
      <c r="Y811" s="35"/>
      <c r="Z811" s="21"/>
      <c r="AA811" s="21"/>
      <c r="AB811" s="21"/>
      <c r="AC811" s="21"/>
      <c r="AD811" s="21"/>
    </row>
    <row r="812" spans="1:30" x14ac:dyDescent="0.2">
      <c r="A812" s="18"/>
      <c r="D812" s="28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1:30" x14ac:dyDescent="0.2">
      <c r="A813" s="18">
        <v>60</v>
      </c>
      <c r="B813" s="3" t="s">
        <v>266</v>
      </c>
      <c r="C813" s="17" t="s">
        <v>51</v>
      </c>
      <c r="D813" s="19">
        <f>17806588/1000</f>
        <v>17806.588</v>
      </c>
      <c r="E813" s="19">
        <f>[1]TOBEPAID!E619/1000</f>
        <v>0</v>
      </c>
      <c r="F813" s="19">
        <f>[1]TOBEPAID!F619/1000</f>
        <v>0</v>
      </c>
      <c r="G813" s="19">
        <f>[1]TOBEPAID!G619/1000</f>
        <v>0</v>
      </c>
      <c r="H813" s="19">
        <f>16000000/1000</f>
        <v>16000</v>
      </c>
      <c r="I813" s="19">
        <f>[1]TOBEPAID!I619/1000</f>
        <v>0</v>
      </c>
      <c r="J813" s="19">
        <f>[1]TOBEPAID!J619/1000</f>
        <v>0</v>
      </c>
      <c r="K813" s="19">
        <f>[1]TOBEPAID!K619/1000</f>
        <v>0</v>
      </c>
      <c r="L813" s="19">
        <f>[1]TOBEPAID!L619/1000</f>
        <v>0</v>
      </c>
      <c r="M813" s="19">
        <f>[1]TOBEPAID!M619/1000</f>
        <v>0</v>
      </c>
      <c r="N813" s="19">
        <f>[1]TOBEPAID!N619/1000</f>
        <v>0</v>
      </c>
      <c r="O813" s="19">
        <f>[1]TOBEPAID!O619/1000</f>
        <v>0.73399999999999999</v>
      </c>
      <c r="P813" s="19">
        <f>[1]TOBEPAID!P619/1000</f>
        <v>0</v>
      </c>
      <c r="Q813" s="19">
        <f>[1]TOBEPAID!Q619/1000</f>
        <v>0</v>
      </c>
      <c r="R813" s="19">
        <v>0.73399999999999999</v>
      </c>
      <c r="S813" s="19">
        <f>[1]TOBEPAID!S619/1000</f>
        <v>0</v>
      </c>
      <c r="T813" s="19">
        <f>[1]TOBEPAID!T619/1000</f>
        <v>0</v>
      </c>
      <c r="U813" s="19">
        <f>[1]TOBEPAID!U619/1000</f>
        <v>0</v>
      </c>
      <c r="V813" s="19">
        <f>[1]TOBEPAID!V619/1000</f>
        <v>0</v>
      </c>
      <c r="W813" s="19">
        <f>[1]TOBEPAID!W619/1000</f>
        <v>0</v>
      </c>
      <c r="X813" s="19">
        <f>[1]TOBEPAID!X619/1000</f>
        <v>0.73399999999999999</v>
      </c>
      <c r="Y813" s="19">
        <f t="shared" ref="Y813:Y818" si="151">+H813+R813</f>
        <v>16000.734</v>
      </c>
      <c r="Z813" s="19">
        <f t="shared" ref="Z813:Z818" si="152">+D813-Y813</f>
        <v>1805.8539999999994</v>
      </c>
      <c r="AA813" s="19">
        <f>[1]TOBEPAID!AA619/1000</f>
        <v>0.73399999999999999</v>
      </c>
      <c r="AB813" s="19">
        <f>[1]TOBEPAID!AB619/1000</f>
        <v>17805.854469999998</v>
      </c>
      <c r="AC813" s="19"/>
      <c r="AD813" s="19"/>
    </row>
    <row r="814" spans="1:30" x14ac:dyDescent="0.2">
      <c r="A814" s="18"/>
      <c r="C814" s="3" t="s">
        <v>52</v>
      </c>
      <c r="D814" s="19">
        <f>2107710/1000</f>
        <v>2107.71</v>
      </c>
      <c r="E814" s="19">
        <f>[1]TOBEPAID!E620/1000</f>
        <v>2107.71</v>
      </c>
      <c r="F814" s="19">
        <f>[1]TOBEPAID!F620/1000</f>
        <v>0</v>
      </c>
      <c r="G814" s="19">
        <f>[1]TOBEPAID!G620/1000</f>
        <v>0</v>
      </c>
      <c r="H814" s="19">
        <f>2107710/1000</f>
        <v>2107.71</v>
      </c>
      <c r="I814" s="19">
        <f>[1]TOBEPAID!I620/1000</f>
        <v>0</v>
      </c>
      <c r="J814" s="19">
        <f>[1]TOBEPAID!J620/1000</f>
        <v>0</v>
      </c>
      <c r="K814" s="19">
        <f>[1]TOBEPAID!K620/1000</f>
        <v>0</v>
      </c>
      <c r="L814" s="19">
        <f>[1]TOBEPAID!L620/1000</f>
        <v>0</v>
      </c>
      <c r="M814" s="19">
        <f>[1]TOBEPAID!M620/1000</f>
        <v>0</v>
      </c>
      <c r="N814" s="19">
        <f>[1]TOBEPAID!N620/1000</f>
        <v>2107.71</v>
      </c>
      <c r="O814" s="19">
        <f>[1]TOBEPAID!O620/1000</f>
        <v>0</v>
      </c>
      <c r="P814" s="19">
        <f>[1]TOBEPAID!P620/1000</f>
        <v>0</v>
      </c>
      <c r="Q814" s="19">
        <f>[1]TOBEPAID!Q620/1000</f>
        <v>0</v>
      </c>
      <c r="R814" s="19">
        <v>0</v>
      </c>
      <c r="S814" s="19">
        <f>[1]TOBEPAID!S620/1000</f>
        <v>0</v>
      </c>
      <c r="T814" s="19">
        <f>[1]TOBEPAID!T620/1000</f>
        <v>0</v>
      </c>
      <c r="U814" s="19">
        <f>[1]TOBEPAID!U620/1000</f>
        <v>0</v>
      </c>
      <c r="V814" s="19">
        <f>[1]TOBEPAID!V620/1000</f>
        <v>0</v>
      </c>
      <c r="W814" s="19">
        <f>[1]TOBEPAID!W620/1000</f>
        <v>0</v>
      </c>
      <c r="X814" s="19">
        <f>[1]TOBEPAID!X620/1000</f>
        <v>0</v>
      </c>
      <c r="Y814" s="19">
        <f t="shared" si="151"/>
        <v>2107.71</v>
      </c>
      <c r="Z814" s="19">
        <f t="shared" si="152"/>
        <v>0</v>
      </c>
      <c r="AA814" s="19">
        <f>[1]TOBEPAID!AA620/1000</f>
        <v>2107.71</v>
      </c>
      <c r="AB814" s="19">
        <f>[1]TOBEPAID!AB620/1000</f>
        <v>0</v>
      </c>
      <c r="AC814" s="19"/>
      <c r="AD814" s="19"/>
    </row>
    <row r="815" spans="1:30" x14ac:dyDescent="0.2">
      <c r="A815" s="18"/>
      <c r="C815" s="3" t="s">
        <v>134</v>
      </c>
      <c r="D815" s="19">
        <f>12000000/1000</f>
        <v>12000</v>
      </c>
      <c r="E815" s="19"/>
      <c r="F815" s="19"/>
      <c r="G815" s="19"/>
      <c r="H815" s="19">
        <f>12000000/1000</f>
        <v>12000</v>
      </c>
      <c r="I815" s="19"/>
      <c r="J815" s="19"/>
      <c r="K815" s="19"/>
      <c r="L815" s="19"/>
      <c r="M815" s="19"/>
      <c r="N815" s="19"/>
      <c r="O815" s="19"/>
      <c r="P815" s="19"/>
      <c r="Q815" s="19"/>
      <c r="R815" s="19">
        <v>0</v>
      </c>
      <c r="S815" s="19"/>
      <c r="T815" s="19"/>
      <c r="U815" s="19"/>
      <c r="V815" s="19"/>
      <c r="W815" s="19"/>
      <c r="X815" s="19"/>
      <c r="Y815" s="19">
        <f t="shared" si="151"/>
        <v>12000</v>
      </c>
      <c r="Z815" s="19">
        <f t="shared" si="152"/>
        <v>0</v>
      </c>
      <c r="AA815" s="19"/>
      <c r="AB815" s="19"/>
      <c r="AC815" s="19"/>
      <c r="AD815" s="19"/>
    </row>
    <row r="816" spans="1:30" x14ac:dyDescent="0.2">
      <c r="A816" s="18"/>
      <c r="C816" s="3" t="s">
        <v>267</v>
      </c>
      <c r="D816" s="19">
        <f>10388000/1000</f>
        <v>10388</v>
      </c>
      <c r="E816" s="19"/>
      <c r="F816" s="19"/>
      <c r="G816" s="19"/>
      <c r="H816" s="19">
        <f>10388000/1000</f>
        <v>10388</v>
      </c>
      <c r="I816" s="19"/>
      <c r="J816" s="19"/>
      <c r="K816" s="19"/>
      <c r="L816" s="19"/>
      <c r="M816" s="19"/>
      <c r="N816" s="19"/>
      <c r="O816" s="19"/>
      <c r="P816" s="19"/>
      <c r="Q816" s="19"/>
      <c r="R816" s="19">
        <v>0</v>
      </c>
      <c r="S816" s="19"/>
      <c r="T816" s="19"/>
      <c r="U816" s="19"/>
      <c r="V816" s="19"/>
      <c r="W816" s="19"/>
      <c r="X816" s="19"/>
      <c r="Y816" s="19">
        <f t="shared" si="151"/>
        <v>10388</v>
      </c>
      <c r="Z816" s="19">
        <f t="shared" si="152"/>
        <v>0</v>
      </c>
      <c r="AA816" s="19"/>
      <c r="AB816" s="19"/>
      <c r="AC816" s="19"/>
      <c r="AD816" s="19"/>
    </row>
    <row r="817" spans="1:30" x14ac:dyDescent="0.2">
      <c r="A817" s="18"/>
      <c r="C817" s="3" t="s">
        <v>259</v>
      </c>
      <c r="D817" s="19">
        <f>5000000/1000</f>
        <v>5000</v>
      </c>
      <c r="E817" s="19"/>
      <c r="F817" s="19"/>
      <c r="G817" s="19"/>
      <c r="H817" s="19">
        <f>5000000/1000</f>
        <v>5000</v>
      </c>
      <c r="I817" s="19"/>
      <c r="J817" s="19"/>
      <c r="K817" s="19"/>
      <c r="L817" s="19"/>
      <c r="M817" s="19"/>
      <c r="N817" s="19"/>
      <c r="O817" s="19"/>
      <c r="P817" s="19"/>
      <c r="Q817" s="19"/>
      <c r="R817" s="19">
        <v>0</v>
      </c>
      <c r="S817" s="19"/>
      <c r="T817" s="19"/>
      <c r="U817" s="19"/>
      <c r="V817" s="19"/>
      <c r="W817" s="19"/>
      <c r="X817" s="19"/>
      <c r="Y817" s="19">
        <f t="shared" si="151"/>
        <v>5000</v>
      </c>
      <c r="Z817" s="19">
        <f t="shared" si="152"/>
        <v>0</v>
      </c>
      <c r="AA817" s="19"/>
      <c r="AB817" s="19"/>
      <c r="AC817" s="19"/>
      <c r="AD817" s="19"/>
    </row>
    <row r="818" spans="1:30" x14ac:dyDescent="0.2">
      <c r="A818" s="18"/>
      <c r="C818" s="3" t="s">
        <v>87</v>
      </c>
      <c r="D818" s="19">
        <f>758429/1000</f>
        <v>758.42899999999997</v>
      </c>
      <c r="E818" s="19">
        <f>[1]TOBEPAID!E621/1000</f>
        <v>0</v>
      </c>
      <c r="F818" s="19">
        <f>[1]TOBEPAID!F621/1000</f>
        <v>0</v>
      </c>
      <c r="G818" s="19">
        <f>[1]TOBEPAID!G621/1000</f>
        <v>0</v>
      </c>
      <c r="H818" s="19">
        <v>0</v>
      </c>
      <c r="I818" s="19">
        <f>[1]TOBEPAID!I621/1000</f>
        <v>0</v>
      </c>
      <c r="J818" s="19">
        <f>[1]TOBEPAID!J621/1000</f>
        <v>0</v>
      </c>
      <c r="K818" s="19">
        <f>[1]TOBEPAID!K621/1000</f>
        <v>0</v>
      </c>
      <c r="L818" s="19">
        <f>[1]TOBEPAID!L621/1000</f>
        <v>0</v>
      </c>
      <c r="M818" s="19">
        <f>[1]TOBEPAID!M621/1000</f>
        <v>0</v>
      </c>
      <c r="N818" s="19">
        <f>[1]TOBEPAID!N621/1000</f>
        <v>0</v>
      </c>
      <c r="O818" s="19">
        <f>[1]TOBEPAID!O621/1000</f>
        <v>0</v>
      </c>
      <c r="P818" s="19">
        <f>[1]TOBEPAID!P621/1000</f>
        <v>0</v>
      </c>
      <c r="Q818" s="19">
        <f>[1]TOBEPAID!Q621/1000</f>
        <v>0</v>
      </c>
      <c r="R818" s="19">
        <f>31791.12/1000</f>
        <v>31.791119999999999</v>
      </c>
      <c r="S818" s="19">
        <f>[1]TOBEPAID!S621/1000</f>
        <v>0</v>
      </c>
      <c r="T818" s="19">
        <f>[1]TOBEPAID!T621/1000</f>
        <v>0</v>
      </c>
      <c r="U818" s="19">
        <f>[1]TOBEPAID!U621/1000</f>
        <v>0</v>
      </c>
      <c r="V818" s="19">
        <f>[1]TOBEPAID!V621/1000</f>
        <v>0</v>
      </c>
      <c r="W818" s="19">
        <f>[1]TOBEPAID!W621/1000</f>
        <v>0</v>
      </c>
      <c r="X818" s="19">
        <f>[1]TOBEPAID!X621/1000</f>
        <v>0</v>
      </c>
      <c r="Y818" s="19">
        <f t="shared" si="151"/>
        <v>31.791119999999999</v>
      </c>
      <c r="Z818" s="19">
        <f t="shared" si="152"/>
        <v>726.63788</v>
      </c>
      <c r="AA818" s="19">
        <f>[1]TOBEPAID!AA621/1000</f>
        <v>0</v>
      </c>
      <c r="AB818" s="19">
        <f>[1]TOBEPAID!AB621/1000</f>
        <v>758.42939000000001</v>
      </c>
      <c r="AC818" s="19"/>
      <c r="AD818" s="19"/>
    </row>
    <row r="819" spans="1:30" x14ac:dyDescent="0.2">
      <c r="A819" s="18"/>
      <c r="D819" s="21" t="s">
        <v>57</v>
      </c>
      <c r="E819" s="21" t="s">
        <v>57</v>
      </c>
      <c r="F819" s="21" t="s">
        <v>57</v>
      </c>
      <c r="G819" s="21"/>
      <c r="H819" s="21" t="s">
        <v>57</v>
      </c>
      <c r="I819" s="21" t="s">
        <v>57</v>
      </c>
      <c r="J819" s="21" t="s">
        <v>57</v>
      </c>
      <c r="K819" s="21" t="s">
        <v>57</v>
      </c>
      <c r="L819" s="21" t="s">
        <v>57</v>
      </c>
      <c r="M819" s="21"/>
      <c r="N819" s="21" t="s">
        <v>57</v>
      </c>
      <c r="O819" s="21" t="s">
        <v>57</v>
      </c>
      <c r="P819" s="21" t="s">
        <v>57</v>
      </c>
      <c r="Q819" s="21"/>
      <c r="R819" s="21" t="s">
        <v>57</v>
      </c>
      <c r="S819" s="21" t="s">
        <v>57</v>
      </c>
      <c r="T819" s="21" t="s">
        <v>57</v>
      </c>
      <c r="U819" s="21" t="s">
        <v>57</v>
      </c>
      <c r="V819" s="21" t="s">
        <v>57</v>
      </c>
      <c r="W819" s="21"/>
      <c r="X819" s="21" t="s">
        <v>57</v>
      </c>
      <c r="Y819" s="21" t="s">
        <v>57</v>
      </c>
      <c r="Z819" s="21" t="s">
        <v>57</v>
      </c>
      <c r="AA819" s="21" t="s">
        <v>57</v>
      </c>
      <c r="AB819" s="21" t="s">
        <v>57</v>
      </c>
      <c r="AC819" s="21"/>
      <c r="AD819" s="21"/>
    </row>
    <row r="820" spans="1:30" x14ac:dyDescent="0.2">
      <c r="A820" s="18"/>
      <c r="D820" s="30">
        <f>SUM(D813:D818)</f>
        <v>48060.726999999992</v>
      </c>
      <c r="E820" s="30">
        <f>SUM(E813:E818)</f>
        <v>2107.71</v>
      </c>
      <c r="F820" s="30">
        <f>SUM(F813:F818)</f>
        <v>0</v>
      </c>
      <c r="G820" s="30"/>
      <c r="H820" s="30">
        <f>SUM(H813:H818)</f>
        <v>45495.71</v>
      </c>
      <c r="I820" s="30">
        <f>SUM(I813:I818)</f>
        <v>0</v>
      </c>
      <c r="J820" s="30">
        <f>SUM(J813:J818)</f>
        <v>0</v>
      </c>
      <c r="K820" s="30">
        <f>SUM(K813:K818)</f>
        <v>0</v>
      </c>
      <c r="L820" s="30">
        <f>SUM(L813:L818)</f>
        <v>0</v>
      </c>
      <c r="M820" s="30"/>
      <c r="N820" s="30">
        <f>SUM(N813:N818)</f>
        <v>2107.71</v>
      </c>
      <c r="O820" s="30">
        <f>SUM(O813:O818)</f>
        <v>0.73399999999999999</v>
      </c>
      <c r="P820" s="30">
        <f>SUM(P813:P818)</f>
        <v>0</v>
      </c>
      <c r="Q820" s="30"/>
      <c r="R820" s="30">
        <f>SUM(R813:R818)</f>
        <v>32.525120000000001</v>
      </c>
      <c r="S820" s="30">
        <f>SUM(S813:S818)</f>
        <v>0</v>
      </c>
      <c r="T820" s="30">
        <f>SUM(T813:T818)</f>
        <v>0</v>
      </c>
      <c r="U820" s="30">
        <f>SUM(U813:U818)</f>
        <v>0</v>
      </c>
      <c r="V820" s="30">
        <f>SUM(V813:V818)</f>
        <v>0</v>
      </c>
      <c r="W820" s="30"/>
      <c r="X820" s="30">
        <f>SUM(X813:X818)</f>
        <v>0.73399999999999999</v>
      </c>
      <c r="Y820" s="30">
        <f>SUM(Y813:Y818)</f>
        <v>45528.235120000005</v>
      </c>
      <c r="Z820" s="30">
        <f>SUM(Z813:Z818)</f>
        <v>2532.4918799999996</v>
      </c>
      <c r="AA820" s="30">
        <f>SUM(AA813:AA818)</f>
        <v>2108.444</v>
      </c>
      <c r="AB820" s="30">
        <f>SUM(AB813:AB818)</f>
        <v>18564.28386</v>
      </c>
      <c r="AC820" s="30"/>
      <c r="AD820" s="30"/>
    </row>
    <row r="821" spans="1:30" x14ac:dyDescent="0.2">
      <c r="A821" s="18"/>
      <c r="D821" s="21" t="s">
        <v>57</v>
      </c>
      <c r="E821" s="21" t="s">
        <v>57</v>
      </c>
      <c r="F821" s="21" t="s">
        <v>57</v>
      </c>
      <c r="G821" s="21"/>
      <c r="H821" s="21" t="s">
        <v>57</v>
      </c>
      <c r="I821" s="21" t="s">
        <v>57</v>
      </c>
      <c r="J821" s="21" t="s">
        <v>57</v>
      </c>
      <c r="K821" s="21" t="s">
        <v>57</v>
      </c>
      <c r="L821" s="21" t="s">
        <v>57</v>
      </c>
      <c r="M821" s="21"/>
      <c r="N821" s="21" t="s">
        <v>57</v>
      </c>
      <c r="O821" s="21" t="s">
        <v>57</v>
      </c>
      <c r="P821" s="21" t="s">
        <v>57</v>
      </c>
      <c r="Q821" s="21"/>
      <c r="R821" s="21" t="s">
        <v>57</v>
      </c>
      <c r="S821" s="21" t="s">
        <v>57</v>
      </c>
      <c r="T821" s="21" t="s">
        <v>57</v>
      </c>
      <c r="U821" s="21" t="s">
        <v>57</v>
      </c>
      <c r="V821" s="21" t="s">
        <v>57</v>
      </c>
      <c r="W821" s="21"/>
      <c r="X821" s="21" t="s">
        <v>57</v>
      </c>
      <c r="Y821" s="21" t="s">
        <v>57</v>
      </c>
      <c r="Z821" s="21" t="s">
        <v>57</v>
      </c>
      <c r="AA821" s="21" t="s">
        <v>57</v>
      </c>
      <c r="AB821" s="21" t="s">
        <v>57</v>
      </c>
      <c r="AC821" s="21"/>
      <c r="AD821" s="21"/>
    </row>
    <row r="822" spans="1:30" x14ac:dyDescent="0.2">
      <c r="A822" s="18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1:30" x14ac:dyDescent="0.2">
      <c r="A823" s="18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1:30" x14ac:dyDescent="0.2">
      <c r="A824" s="18">
        <v>61</v>
      </c>
      <c r="B824" s="3" t="s">
        <v>268</v>
      </c>
      <c r="C824" s="17" t="s">
        <v>51</v>
      </c>
      <c r="D824" s="19">
        <f>6942706.26/1000</f>
        <v>6942.7062599999999</v>
      </c>
      <c r="E824" s="19">
        <f>[1]TOBEPAID!E625/1000</f>
        <v>0</v>
      </c>
      <c r="F824" s="19">
        <f>[1]TOBEPAID!F625/1000</f>
        <v>0</v>
      </c>
      <c r="G824" s="19">
        <f>[1]TOBEPAID!G625/1000</f>
        <v>0</v>
      </c>
      <c r="H824" s="19">
        <f>6942435/1000</f>
        <v>6942.4350000000004</v>
      </c>
      <c r="I824" s="19">
        <f>[1]TOBEPAID!I625/1000</f>
        <v>0</v>
      </c>
      <c r="J824" s="19">
        <f>[1]TOBEPAID!J625/1000</f>
        <v>0</v>
      </c>
      <c r="K824" s="19">
        <f>[1]TOBEPAID!K625/1000</f>
        <v>0</v>
      </c>
      <c r="L824" s="19">
        <f>[1]TOBEPAID!L625/1000</f>
        <v>0</v>
      </c>
      <c r="M824" s="19">
        <f>[1]TOBEPAID!M625/1000</f>
        <v>0</v>
      </c>
      <c r="N824" s="19">
        <f>[1]TOBEPAID!N625/1000</f>
        <v>0</v>
      </c>
      <c r="O824" s="19">
        <f>[1]TOBEPAID!O625/1000</f>
        <v>117.1632</v>
      </c>
      <c r="P824" s="19">
        <f>[1]TOBEPAID!P625/1000</f>
        <v>0</v>
      </c>
      <c r="Q824" s="19">
        <f>[1]TOBEPAID!Q625/1000</f>
        <v>0</v>
      </c>
      <c r="R824" s="19">
        <v>0</v>
      </c>
      <c r="S824" s="19">
        <f>[1]TOBEPAID!S625/1000</f>
        <v>0</v>
      </c>
      <c r="T824" s="19">
        <f>[1]TOBEPAID!T625/1000</f>
        <v>0</v>
      </c>
      <c r="U824" s="19">
        <f>[1]TOBEPAID!U625/1000</f>
        <v>0</v>
      </c>
      <c r="V824" s="19">
        <f>[1]TOBEPAID!V625/1000</f>
        <v>0</v>
      </c>
      <c r="W824" s="19">
        <f>[1]TOBEPAID!W625/1000</f>
        <v>0</v>
      </c>
      <c r="X824" s="19">
        <f>[1]TOBEPAID!X625/1000</f>
        <v>117.1632</v>
      </c>
      <c r="Y824" s="19">
        <f t="shared" ref="Y824:Y831" si="153">+H824+R824</f>
        <v>6942.4350000000004</v>
      </c>
      <c r="Z824" s="19">
        <f>+D824-Y824</f>
        <v>0.2712599999995291</v>
      </c>
      <c r="AA824" s="19">
        <f>[1]TOBEPAID!AA625/1000</f>
        <v>117.1632</v>
      </c>
      <c r="AB824" s="19">
        <f>[1]TOBEPAID!AB625/1000</f>
        <v>6942.7062600000008</v>
      </c>
      <c r="AC824" s="19"/>
      <c r="AD824" s="19"/>
    </row>
    <row r="825" spans="1:30" x14ac:dyDescent="0.2">
      <c r="A825" s="18"/>
      <c r="C825" s="17" t="s">
        <v>110</v>
      </c>
      <c r="D825" s="19">
        <f>26691988/1000</f>
        <v>26691.988000000001</v>
      </c>
      <c r="E825" s="19"/>
      <c r="F825" s="19"/>
      <c r="G825" s="19"/>
      <c r="H825" s="19">
        <f>26691988/1000</f>
        <v>26691.988000000001</v>
      </c>
      <c r="I825" s="19"/>
      <c r="J825" s="19"/>
      <c r="K825" s="19"/>
      <c r="L825" s="19"/>
      <c r="M825" s="19"/>
      <c r="N825" s="19"/>
      <c r="O825" s="19"/>
      <c r="P825" s="19"/>
      <c r="Q825" s="19"/>
      <c r="R825" s="19">
        <v>0</v>
      </c>
      <c r="S825" s="19"/>
      <c r="T825" s="19"/>
      <c r="U825" s="19"/>
      <c r="V825" s="19"/>
      <c r="W825" s="19"/>
      <c r="X825" s="19"/>
      <c r="Y825" s="19">
        <f>+H825+R825</f>
        <v>26691.988000000001</v>
      </c>
      <c r="Z825" s="19">
        <f>+D825-Y825</f>
        <v>0</v>
      </c>
      <c r="AA825" s="19"/>
      <c r="AB825" s="19"/>
      <c r="AC825" s="19"/>
      <c r="AD825" s="19"/>
    </row>
    <row r="826" spans="1:30" x14ac:dyDescent="0.2">
      <c r="A826" s="18"/>
      <c r="C826" s="3" t="s">
        <v>52</v>
      </c>
      <c r="D826" s="19">
        <f>2879638/1000</f>
        <v>2879.6379999999999</v>
      </c>
      <c r="E826" s="19">
        <f>[1]TOBEPAID!E626/1000</f>
        <v>2879.6379999999999</v>
      </c>
      <c r="F826" s="19">
        <f>[1]TOBEPAID!F626/1000</f>
        <v>0</v>
      </c>
      <c r="G826" s="19">
        <f>[1]TOBEPAID!G626/1000</f>
        <v>0</v>
      </c>
      <c r="H826" s="19">
        <f>[1]TOBEPAID!H626/1000</f>
        <v>2879.6379999999999</v>
      </c>
      <c r="I826" s="19">
        <f>[1]TOBEPAID!I626/1000</f>
        <v>0</v>
      </c>
      <c r="J826" s="19">
        <f>[1]TOBEPAID!J626/1000</f>
        <v>0</v>
      </c>
      <c r="K826" s="19">
        <f>[1]TOBEPAID!K626/1000</f>
        <v>0</v>
      </c>
      <c r="L826" s="19">
        <f>[1]TOBEPAID!L626/1000</f>
        <v>0</v>
      </c>
      <c r="M826" s="19">
        <f>[1]TOBEPAID!M626/1000</f>
        <v>0</v>
      </c>
      <c r="N826" s="19">
        <f>[1]TOBEPAID!N626/1000</f>
        <v>2879.6379999999999</v>
      </c>
      <c r="O826" s="19">
        <f>[1]TOBEPAID!O626/1000</f>
        <v>0</v>
      </c>
      <c r="P826" s="19">
        <f>[1]TOBEPAID!P626/1000</f>
        <v>0</v>
      </c>
      <c r="Q826" s="19">
        <f>[1]TOBEPAID!Q626/1000</f>
        <v>0</v>
      </c>
      <c r="R826" s="19">
        <f>[1]TOBEPAID!R626/1000</f>
        <v>0</v>
      </c>
      <c r="S826" s="19">
        <f>[1]TOBEPAID!S626/1000</f>
        <v>0</v>
      </c>
      <c r="T826" s="19">
        <f>[1]TOBEPAID!T626/1000</f>
        <v>0</v>
      </c>
      <c r="U826" s="19">
        <f>[1]TOBEPAID!U626/1000</f>
        <v>0</v>
      </c>
      <c r="V826" s="19">
        <f>[1]TOBEPAID!V626/1000</f>
        <v>0</v>
      </c>
      <c r="W826" s="19">
        <f>[1]TOBEPAID!W626/1000</f>
        <v>0</v>
      </c>
      <c r="X826" s="19">
        <f>[1]TOBEPAID!X626/1000</f>
        <v>0</v>
      </c>
      <c r="Y826" s="19">
        <f t="shared" si="153"/>
        <v>2879.6379999999999</v>
      </c>
      <c r="Z826" s="19">
        <f>+D826-Y826</f>
        <v>0</v>
      </c>
      <c r="AA826" s="19">
        <f>[1]TOBEPAID!AA626/1000</f>
        <v>2879.6379999999999</v>
      </c>
      <c r="AB826" s="19">
        <f>[1]TOBEPAID!AB626/1000</f>
        <v>0</v>
      </c>
      <c r="AC826" s="19"/>
      <c r="AD826" s="19"/>
    </row>
    <row r="827" spans="1:30" x14ac:dyDescent="0.2">
      <c r="A827" s="18"/>
      <c r="C827" s="3" t="s">
        <v>63</v>
      </c>
      <c r="D827" s="19">
        <f>12000000/1000</f>
        <v>12000</v>
      </c>
      <c r="E827" s="19"/>
      <c r="F827" s="19"/>
      <c r="G827" s="19"/>
      <c r="H827" s="19">
        <f>12000000/1000</f>
        <v>12000</v>
      </c>
      <c r="I827" s="19"/>
      <c r="J827" s="19"/>
      <c r="K827" s="19"/>
      <c r="L827" s="19"/>
      <c r="M827" s="19"/>
      <c r="N827" s="19"/>
      <c r="O827" s="19"/>
      <c r="P827" s="19"/>
      <c r="Q827" s="19"/>
      <c r="R827" s="19">
        <v>0</v>
      </c>
      <c r="S827" s="19"/>
      <c r="T827" s="19"/>
      <c r="U827" s="19"/>
      <c r="V827" s="19"/>
      <c r="W827" s="19"/>
      <c r="X827" s="19"/>
      <c r="Y827" s="19">
        <f>+H827+R827</f>
        <v>12000</v>
      </c>
      <c r="Z827" s="19">
        <f>+D827-Y827</f>
        <v>0</v>
      </c>
      <c r="AA827" s="19"/>
      <c r="AB827" s="19"/>
      <c r="AC827" s="19"/>
      <c r="AD827" s="19"/>
    </row>
    <row r="828" spans="1:30" x14ac:dyDescent="0.2">
      <c r="A828" s="18"/>
      <c r="C828" s="3" t="s">
        <v>259</v>
      </c>
      <c r="D828" s="19">
        <f>5000000/1000</f>
        <v>5000</v>
      </c>
      <c r="E828" s="19"/>
      <c r="F828" s="19"/>
      <c r="G828" s="19"/>
      <c r="H828" s="19">
        <f>5000000/1000</f>
        <v>5000</v>
      </c>
      <c r="I828" s="19"/>
      <c r="J828" s="19"/>
      <c r="K828" s="19"/>
      <c r="L828" s="19"/>
      <c r="M828" s="19"/>
      <c r="N828" s="19"/>
      <c r="O828" s="19"/>
      <c r="P828" s="19"/>
      <c r="Q828" s="19"/>
      <c r="R828" s="19">
        <v>0</v>
      </c>
      <c r="S828" s="19"/>
      <c r="T828" s="19"/>
      <c r="U828" s="19"/>
      <c r="V828" s="19"/>
      <c r="W828" s="19"/>
      <c r="X828" s="19"/>
      <c r="Y828" s="19">
        <f t="shared" si="153"/>
        <v>5000</v>
      </c>
      <c r="Z828" s="19">
        <f>+D828-Y828</f>
        <v>0</v>
      </c>
      <c r="AA828" s="19"/>
      <c r="AB828" s="19"/>
      <c r="AC828" s="19"/>
      <c r="AD828" s="19"/>
    </row>
    <row r="829" spans="1:30" x14ac:dyDescent="0.2">
      <c r="A829" s="18"/>
      <c r="C829" s="3" t="s">
        <v>96</v>
      </c>
      <c r="D829" s="19">
        <f>9903123/1000</f>
        <v>9903.1229999999996</v>
      </c>
      <c r="E829" s="19">
        <f>[1]TOBEPAID!E627/1000</f>
        <v>0</v>
      </c>
      <c r="F829" s="19">
        <f>[1]TOBEPAID!F627/1000</f>
        <v>0</v>
      </c>
      <c r="G829" s="19">
        <f>[1]TOBEPAID!G627/1000</f>
        <v>0</v>
      </c>
      <c r="H829" s="19">
        <f>[1]TOBEPAID!H627/1000</f>
        <v>0</v>
      </c>
      <c r="I829" s="19">
        <f>[1]TOBEPAID!I627/1000</f>
        <v>0</v>
      </c>
      <c r="J829" s="19">
        <f>[1]TOBEPAID!J627/1000</f>
        <v>0</v>
      </c>
      <c r="K829" s="19">
        <f>[1]TOBEPAID!K627/1000</f>
        <v>0</v>
      </c>
      <c r="L829" s="19">
        <f>[1]TOBEPAID!L627/1000</f>
        <v>0</v>
      </c>
      <c r="M829" s="19">
        <f>[1]TOBEPAID!M627/1000</f>
        <v>0</v>
      </c>
      <c r="N829" s="19">
        <f>[1]TOBEPAID!N627/1000</f>
        <v>0</v>
      </c>
      <c r="O829" s="19">
        <f>[1]TOBEPAID!O627/1000</f>
        <v>9903.1231399999997</v>
      </c>
      <c r="P829" s="19">
        <f>[1]TOBEPAID!P627/1000</f>
        <v>0</v>
      </c>
      <c r="Q829" s="19">
        <f>[1]TOBEPAID!Q627/1000</f>
        <v>0</v>
      </c>
      <c r="R829" s="19">
        <f>[1]TOBEPAID!R627/1000</f>
        <v>9903.1231399999997</v>
      </c>
      <c r="S829" s="19">
        <f>[1]TOBEPAID!S627/1000</f>
        <v>0</v>
      </c>
      <c r="T829" s="19">
        <f>[1]TOBEPAID!T627/1000</f>
        <v>0</v>
      </c>
      <c r="U829" s="19">
        <f>[1]TOBEPAID!U627/1000</f>
        <v>0</v>
      </c>
      <c r="V829" s="19">
        <f>[1]TOBEPAID!V627/1000</f>
        <v>0</v>
      </c>
      <c r="W829" s="19">
        <f>[1]TOBEPAID!W627/1000</f>
        <v>0</v>
      </c>
      <c r="X829" s="19">
        <f>[1]TOBEPAID!X627/1000</f>
        <v>9903.1231399999997</v>
      </c>
      <c r="Y829" s="19">
        <f t="shared" si="153"/>
        <v>9903.1231399999997</v>
      </c>
      <c r="Z829" s="19">
        <f>+Y829-D829</f>
        <v>1.4000000010128133E-4</v>
      </c>
      <c r="AA829" s="19">
        <f>[1]TOBEPAID!AA627/1000</f>
        <v>9903.1231399999997</v>
      </c>
      <c r="AB829" s="19">
        <f>[1]TOBEPAID!AB627/1000</f>
        <v>0</v>
      </c>
      <c r="AC829" s="19"/>
      <c r="AD829" s="19"/>
    </row>
    <row r="830" spans="1:30" x14ac:dyDescent="0.2">
      <c r="A830" s="18"/>
      <c r="C830" s="3" t="s">
        <v>55</v>
      </c>
      <c r="D830" s="19">
        <f>117163/1000</f>
        <v>117.163</v>
      </c>
      <c r="E830" s="19">
        <f>[1]TOBEPAID!E628/1000</f>
        <v>0</v>
      </c>
      <c r="F830" s="19">
        <f>[1]TOBEPAID!F628/1000</f>
        <v>0</v>
      </c>
      <c r="G830" s="19">
        <f>[1]TOBEPAID!G628/1000</f>
        <v>0</v>
      </c>
      <c r="H830" s="19">
        <f>[1]TOBEPAID!H628/1000</f>
        <v>0</v>
      </c>
      <c r="I830" s="19">
        <f>[1]TOBEPAID!I628/1000</f>
        <v>0</v>
      </c>
      <c r="J830" s="19">
        <f>[1]TOBEPAID!J628/1000</f>
        <v>0</v>
      </c>
      <c r="K830" s="19">
        <f>[1]TOBEPAID!K628/1000</f>
        <v>0</v>
      </c>
      <c r="L830" s="19">
        <f>[1]TOBEPAID!L628/1000</f>
        <v>0</v>
      </c>
      <c r="M830" s="19">
        <f>[1]TOBEPAID!M628/1000</f>
        <v>0</v>
      </c>
      <c r="N830" s="19">
        <f>[1]TOBEPAID!N628/1000</f>
        <v>0</v>
      </c>
      <c r="O830" s="19">
        <f>[1]TOBEPAID!O628/1000</f>
        <v>0</v>
      </c>
      <c r="P830" s="19">
        <f>[1]TOBEPAID!P628/1000</f>
        <v>0</v>
      </c>
      <c r="Q830" s="19">
        <f>[1]TOBEPAID!Q628/1000</f>
        <v>0</v>
      </c>
      <c r="R830" s="19">
        <f>117163/1000</f>
        <v>117.163</v>
      </c>
      <c r="S830" s="19">
        <f>[1]TOBEPAID!S628/1000</f>
        <v>0</v>
      </c>
      <c r="T830" s="19">
        <f>[1]TOBEPAID!T628/1000</f>
        <v>0</v>
      </c>
      <c r="U830" s="19">
        <f>[1]TOBEPAID!U628/1000</f>
        <v>0</v>
      </c>
      <c r="V830" s="19">
        <f>[1]TOBEPAID!V628/1000</f>
        <v>0</v>
      </c>
      <c r="W830" s="19">
        <f>[1]TOBEPAID!W628/1000</f>
        <v>0</v>
      </c>
      <c r="X830" s="19">
        <f>[1]TOBEPAID!X628/1000</f>
        <v>0</v>
      </c>
      <c r="Y830" s="19">
        <f t="shared" si="153"/>
        <v>117.163</v>
      </c>
      <c r="Z830" s="19">
        <f>+D830-Y830</f>
        <v>0</v>
      </c>
      <c r="AA830" s="19">
        <f>[1]TOBEPAID!AA628/1000</f>
        <v>0</v>
      </c>
      <c r="AB830" s="19">
        <f>[1]TOBEPAID!AB628/1000</f>
        <v>0</v>
      </c>
      <c r="AC830" s="19"/>
      <c r="AD830" s="19"/>
    </row>
    <row r="831" spans="1:30" x14ac:dyDescent="0.2">
      <c r="A831" s="18"/>
      <c r="C831" s="3" t="s">
        <v>97</v>
      </c>
      <c r="D831" s="19">
        <f>5096366/1000</f>
        <v>5096.366</v>
      </c>
      <c r="E831" s="19">
        <f>[1]TOBEPAID!E629/1000</f>
        <v>0</v>
      </c>
      <c r="F831" s="19">
        <f>[1]TOBEPAID!F629/1000</f>
        <v>0</v>
      </c>
      <c r="G831" s="19">
        <f>[1]TOBEPAID!G629/1000</f>
        <v>0</v>
      </c>
      <c r="H831" s="19">
        <f>[1]TOBEPAID!H629/1000</f>
        <v>0</v>
      </c>
      <c r="I831" s="19">
        <f>[1]TOBEPAID!I629/1000</f>
        <v>0</v>
      </c>
      <c r="J831" s="19">
        <f>[1]TOBEPAID!J629/1000</f>
        <v>0</v>
      </c>
      <c r="K831" s="19">
        <f>[1]TOBEPAID!K629/1000</f>
        <v>0</v>
      </c>
      <c r="L831" s="19">
        <f>[1]TOBEPAID!L629/1000</f>
        <v>0</v>
      </c>
      <c r="M831" s="19">
        <f>[1]TOBEPAID!M629/1000</f>
        <v>0</v>
      </c>
      <c r="N831" s="19">
        <f>[1]TOBEPAID!N629/1000</f>
        <v>0</v>
      </c>
      <c r="O831" s="19">
        <f>[1]TOBEPAID!O629/1000</f>
        <v>5096.3667699999996</v>
      </c>
      <c r="P831" s="19">
        <f>[1]TOBEPAID!P629/1000</f>
        <v>0</v>
      </c>
      <c r="Q831" s="19">
        <f>[1]TOBEPAID!Q629/1000</f>
        <v>0</v>
      </c>
      <c r="R831" s="19">
        <f>[1]TOBEPAID!R629/1000</f>
        <v>5096.3667699999996</v>
      </c>
      <c r="S831" s="19">
        <f>[1]TOBEPAID!S629/1000</f>
        <v>0</v>
      </c>
      <c r="T831" s="19">
        <f>[1]TOBEPAID!T629/1000</f>
        <v>0</v>
      </c>
      <c r="U831" s="19">
        <f>[1]TOBEPAID!U629/1000</f>
        <v>0</v>
      </c>
      <c r="V831" s="19">
        <f>[1]TOBEPAID!V629/1000</f>
        <v>0</v>
      </c>
      <c r="W831" s="19">
        <f>[1]TOBEPAID!W629/1000</f>
        <v>0</v>
      </c>
      <c r="X831" s="19">
        <f>[1]TOBEPAID!X629/1000</f>
        <v>5096.3667699999996</v>
      </c>
      <c r="Y831" s="19">
        <f t="shared" si="153"/>
        <v>5096.3667699999996</v>
      </c>
      <c r="Z831" s="19">
        <f>+Y831-D831</f>
        <v>7.6999999964755261E-4</v>
      </c>
      <c r="AA831" s="19">
        <f>[1]TOBEPAID!AA629/1000</f>
        <v>5096.3667699999996</v>
      </c>
      <c r="AB831" s="19">
        <f>[1]TOBEPAID!AB629/1000</f>
        <v>0</v>
      </c>
      <c r="AC831" s="19"/>
      <c r="AD831" s="19"/>
    </row>
    <row r="832" spans="1:30" x14ac:dyDescent="0.2">
      <c r="A832" s="18"/>
      <c r="D832" s="21" t="s">
        <v>57</v>
      </c>
      <c r="E832" s="21" t="s">
        <v>57</v>
      </c>
      <c r="F832" s="21" t="s">
        <v>57</v>
      </c>
      <c r="G832" s="21"/>
      <c r="H832" s="21" t="s">
        <v>57</v>
      </c>
      <c r="I832" s="21" t="s">
        <v>57</v>
      </c>
      <c r="J832" s="21" t="s">
        <v>57</v>
      </c>
      <c r="K832" s="21" t="s">
        <v>57</v>
      </c>
      <c r="L832" s="21" t="s">
        <v>57</v>
      </c>
      <c r="M832" s="21"/>
      <c r="N832" s="21" t="s">
        <v>57</v>
      </c>
      <c r="O832" s="21" t="s">
        <v>57</v>
      </c>
      <c r="P832" s="21" t="s">
        <v>57</v>
      </c>
      <c r="Q832" s="21"/>
      <c r="R832" s="21" t="s">
        <v>57</v>
      </c>
      <c r="S832" s="21" t="s">
        <v>57</v>
      </c>
      <c r="T832" s="21" t="s">
        <v>57</v>
      </c>
      <c r="U832" s="21" t="s">
        <v>57</v>
      </c>
      <c r="V832" s="21" t="s">
        <v>57</v>
      </c>
      <c r="W832" s="21"/>
      <c r="X832" s="21" t="s">
        <v>57</v>
      </c>
      <c r="Y832" s="21" t="s">
        <v>57</v>
      </c>
      <c r="Z832" s="21" t="s">
        <v>57</v>
      </c>
      <c r="AA832" s="21" t="s">
        <v>57</v>
      </c>
      <c r="AB832" s="21" t="s">
        <v>57</v>
      </c>
      <c r="AC832" s="21"/>
      <c r="AD832" s="21"/>
    </row>
    <row r="833" spans="1:30" x14ac:dyDescent="0.2">
      <c r="A833" s="18"/>
      <c r="D833" s="30">
        <f>SUM(D824:D831)</f>
        <v>68630.984259999997</v>
      </c>
      <c r="E833" s="30">
        <f>SUM(E824:E831)</f>
        <v>2879.6379999999999</v>
      </c>
      <c r="F833" s="30">
        <f>SUM(F824:F831)</f>
        <v>0</v>
      </c>
      <c r="G833" s="30"/>
      <c r="H833" s="30">
        <f>SUM(H824:H831)</f>
        <v>53514.061000000002</v>
      </c>
      <c r="I833" s="30">
        <f>SUM(I824:I831)</f>
        <v>0</v>
      </c>
      <c r="J833" s="30">
        <f>SUM(J824:J831)</f>
        <v>0</v>
      </c>
      <c r="K833" s="30">
        <f>SUM(K824:K831)</f>
        <v>0</v>
      </c>
      <c r="L833" s="30">
        <f>SUM(L824:L831)</f>
        <v>0</v>
      </c>
      <c r="M833" s="30"/>
      <c r="N833" s="30">
        <f>SUM(N824:N831)</f>
        <v>2879.6379999999999</v>
      </c>
      <c r="O833" s="30">
        <f>SUM(O824:O831)</f>
        <v>15116.653109999999</v>
      </c>
      <c r="P833" s="30">
        <f>SUM(P824:P831)</f>
        <v>0</v>
      </c>
      <c r="Q833" s="30"/>
      <c r="R833" s="30">
        <f>SUM(R824:R831)</f>
        <v>15116.652910000001</v>
      </c>
      <c r="S833" s="30">
        <f>SUM(S824:S831)</f>
        <v>0</v>
      </c>
      <c r="T833" s="30">
        <f>SUM(T824:T831)</f>
        <v>0</v>
      </c>
      <c r="U833" s="30">
        <f>SUM(U824:U831)</f>
        <v>0</v>
      </c>
      <c r="V833" s="30">
        <f>SUM(V824:V831)</f>
        <v>0</v>
      </c>
      <c r="W833" s="30"/>
      <c r="X833" s="30">
        <f>SUM(X824:X831)</f>
        <v>15116.653109999999</v>
      </c>
      <c r="Y833" s="30">
        <f>SUM(Y824:Y831)</f>
        <v>68630.713909999991</v>
      </c>
      <c r="Z833" s="30">
        <f>SUM(Z824:Z831)</f>
        <v>0.27216999999927793</v>
      </c>
      <c r="AA833" s="30">
        <f>SUM(AA824:AA831)</f>
        <v>17996.291109999998</v>
      </c>
      <c r="AB833" s="30">
        <f>SUM(AB824:AB831)</f>
        <v>6942.7062600000008</v>
      </c>
      <c r="AC833" s="30"/>
      <c r="AD833" s="30"/>
    </row>
    <row r="834" spans="1:30" x14ac:dyDescent="0.2">
      <c r="A834" s="18"/>
      <c r="D834" s="21" t="s">
        <v>57</v>
      </c>
      <c r="E834" s="21" t="s">
        <v>57</v>
      </c>
      <c r="F834" s="21" t="s">
        <v>57</v>
      </c>
      <c r="G834" s="21"/>
      <c r="H834" s="21" t="s">
        <v>57</v>
      </c>
      <c r="I834" s="21" t="s">
        <v>57</v>
      </c>
      <c r="J834" s="21" t="s">
        <v>57</v>
      </c>
      <c r="K834" s="21" t="s">
        <v>57</v>
      </c>
      <c r="L834" s="21" t="s">
        <v>57</v>
      </c>
      <c r="M834" s="21"/>
      <c r="N834" s="21" t="s">
        <v>57</v>
      </c>
      <c r="O834" s="21" t="s">
        <v>57</v>
      </c>
      <c r="P834" s="21" t="s">
        <v>57</v>
      </c>
      <c r="Q834" s="21"/>
      <c r="R834" s="21" t="s">
        <v>57</v>
      </c>
      <c r="S834" s="21" t="s">
        <v>57</v>
      </c>
      <c r="T834" s="21" t="s">
        <v>57</v>
      </c>
      <c r="U834" s="21" t="s">
        <v>57</v>
      </c>
      <c r="V834" s="21" t="s">
        <v>57</v>
      </c>
      <c r="W834" s="21"/>
      <c r="X834" s="21" t="s">
        <v>57</v>
      </c>
      <c r="Y834" s="21" t="s">
        <v>57</v>
      </c>
      <c r="Z834" s="21" t="s">
        <v>57</v>
      </c>
      <c r="AA834" s="21" t="s">
        <v>57</v>
      </c>
      <c r="AB834" s="21" t="s">
        <v>57</v>
      </c>
      <c r="AC834" s="21"/>
      <c r="AD834" s="21"/>
    </row>
    <row r="835" spans="1:30" x14ac:dyDescent="0.2"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0"/>
      <c r="Z835" s="30"/>
      <c r="AA835" s="30"/>
      <c r="AB835" s="30"/>
      <c r="AC835" s="30"/>
      <c r="AD835" s="30"/>
    </row>
    <row r="836" spans="1:30" x14ac:dyDescent="0.2"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</row>
    <row r="837" spans="1:30" x14ac:dyDescent="0.2">
      <c r="A837" s="18">
        <v>62</v>
      </c>
      <c r="B837" s="3" t="s">
        <v>269</v>
      </c>
      <c r="C837" s="17" t="s">
        <v>51</v>
      </c>
      <c r="D837" s="19">
        <f>9390183/1000</f>
        <v>9390.1830000000009</v>
      </c>
      <c r="E837" s="19">
        <f>[1]TOBEPAID!E635/1000</f>
        <v>0</v>
      </c>
      <c r="F837" s="19">
        <f>[1]TOBEPAID!F635/1000</f>
        <v>0</v>
      </c>
      <c r="G837" s="19">
        <f>[1]TOBEPAID!G635/1000</f>
        <v>0</v>
      </c>
      <c r="H837" s="19">
        <f>5870680/1000</f>
        <v>5870.68</v>
      </c>
      <c r="I837" s="19">
        <f>[1]TOBEPAID!I635/1000</f>
        <v>0</v>
      </c>
      <c r="J837" s="19">
        <f>[1]TOBEPAID!J635/1000</f>
        <v>0</v>
      </c>
      <c r="K837" s="19">
        <f>[1]TOBEPAID!K635/1000</f>
        <v>0</v>
      </c>
      <c r="L837" s="19">
        <f>[1]TOBEPAID!L635/1000</f>
        <v>0</v>
      </c>
      <c r="M837" s="19">
        <f>[1]TOBEPAID!M635/1000</f>
        <v>0</v>
      </c>
      <c r="N837" s="19">
        <f>[1]TOBEPAID!N635/1000</f>
        <v>0</v>
      </c>
      <c r="O837" s="19">
        <f>[1]TOBEPAID!O635/1000</f>
        <v>137.28860999999998</v>
      </c>
      <c r="P837" s="19">
        <f>[1]TOBEPAID!P635/1000</f>
        <v>0</v>
      </c>
      <c r="Q837" s="19">
        <f>[1]TOBEPAID!Q635/1000</f>
        <v>0</v>
      </c>
      <c r="R837" s="19">
        <f>137288/1000</f>
        <v>137.28800000000001</v>
      </c>
      <c r="S837" s="19">
        <f>[1]TOBEPAID!S635/1000</f>
        <v>0</v>
      </c>
      <c r="T837" s="19">
        <f>[1]TOBEPAID!T635/1000</f>
        <v>0</v>
      </c>
      <c r="U837" s="19">
        <f>[1]TOBEPAID!U635/1000</f>
        <v>0</v>
      </c>
      <c r="V837" s="19">
        <f>[1]TOBEPAID!V635/1000</f>
        <v>0</v>
      </c>
      <c r="W837" s="19">
        <f>[1]TOBEPAID!W635/1000</f>
        <v>0</v>
      </c>
      <c r="X837" s="19">
        <f>[1]TOBEPAID!X635/1000</f>
        <v>137.28860999999998</v>
      </c>
      <c r="Y837" s="19">
        <f>+H837+R837</f>
        <v>6007.9680000000008</v>
      </c>
      <c r="Z837" s="19">
        <f>+D837-Y837</f>
        <v>3382.2150000000001</v>
      </c>
      <c r="AA837" s="19">
        <f>[1]TOBEPAID!AA635/1000</f>
        <v>137.28860999999998</v>
      </c>
      <c r="AB837" s="19">
        <f>[1]TOBEPAID!AB635/1000</f>
        <v>253.54126000000002</v>
      </c>
      <c r="AC837" s="19"/>
      <c r="AD837" s="19"/>
    </row>
    <row r="838" spans="1:30" x14ac:dyDescent="0.2">
      <c r="A838" s="18"/>
      <c r="C838" s="3" t="s">
        <v>52</v>
      </c>
      <c r="D838" s="19">
        <f>1048781/1000</f>
        <v>1048.7809999999999</v>
      </c>
      <c r="E838" s="19">
        <f>[1]TOBEPAID!E636/1000</f>
        <v>1048.7809999999999</v>
      </c>
      <c r="F838" s="19">
        <f>[1]TOBEPAID!F636/1000</f>
        <v>0</v>
      </c>
      <c r="G838" s="19">
        <f>[1]TOBEPAID!G636/1000</f>
        <v>0</v>
      </c>
      <c r="H838" s="19">
        <f>1048781/1000</f>
        <v>1048.7809999999999</v>
      </c>
      <c r="I838" s="19">
        <f>[1]TOBEPAID!I636/1000</f>
        <v>0</v>
      </c>
      <c r="J838" s="19">
        <f>[1]TOBEPAID!J636/1000</f>
        <v>0</v>
      </c>
      <c r="K838" s="19">
        <f>[1]TOBEPAID!K636/1000</f>
        <v>0</v>
      </c>
      <c r="L838" s="19">
        <f>[1]TOBEPAID!L636/1000</f>
        <v>0</v>
      </c>
      <c r="M838" s="19">
        <f>[1]TOBEPAID!M636/1000</f>
        <v>0</v>
      </c>
      <c r="N838" s="19">
        <f>[1]TOBEPAID!N636/1000</f>
        <v>1048.7809999999999</v>
      </c>
      <c r="O838" s="19">
        <f>[1]TOBEPAID!O636/1000</f>
        <v>0</v>
      </c>
      <c r="P838" s="19">
        <f>[1]TOBEPAID!P636/1000</f>
        <v>0</v>
      </c>
      <c r="Q838" s="19">
        <f>[1]TOBEPAID!Q636/1000</f>
        <v>0</v>
      </c>
      <c r="R838" s="19">
        <v>0</v>
      </c>
      <c r="S838" s="19">
        <f>[1]TOBEPAID!S636/1000</f>
        <v>0</v>
      </c>
      <c r="T838" s="19">
        <f>[1]TOBEPAID!T636/1000</f>
        <v>0</v>
      </c>
      <c r="U838" s="19">
        <f>[1]TOBEPAID!U636/1000</f>
        <v>0</v>
      </c>
      <c r="V838" s="19">
        <f>[1]TOBEPAID!V636/1000</f>
        <v>0</v>
      </c>
      <c r="W838" s="19">
        <f>[1]TOBEPAID!W636/1000</f>
        <v>0</v>
      </c>
      <c r="X838" s="19">
        <f>[1]TOBEPAID!X636/1000</f>
        <v>0</v>
      </c>
      <c r="Y838" s="19">
        <f>[1]TOBEPAID!Y636/1000</f>
        <v>1048.7809999999999</v>
      </c>
      <c r="Z838" s="19">
        <f>[1]TOBEPAID!Z636/1000</f>
        <v>0</v>
      </c>
      <c r="AA838" s="19">
        <f>[1]TOBEPAID!AA636/1000</f>
        <v>1048.7809999999999</v>
      </c>
      <c r="AB838" s="19">
        <f>[1]TOBEPAID!AB636/1000</f>
        <v>0</v>
      </c>
      <c r="AC838" s="19"/>
      <c r="AD838" s="19"/>
    </row>
    <row r="839" spans="1:30" x14ac:dyDescent="0.2">
      <c r="C839" s="3" t="s">
        <v>67</v>
      </c>
      <c r="D839" s="19">
        <f>1020000000/1000</f>
        <v>1020000</v>
      </c>
      <c r="E839" s="19">
        <f>[1]TOBEPAID!E637/1000</f>
        <v>60000</v>
      </c>
      <c r="F839" s="19">
        <f>[1]TOBEPAID!F637/1000</f>
        <v>30000</v>
      </c>
      <c r="G839" s="19">
        <f>[1]TOBEPAID!G637/1000</f>
        <v>0</v>
      </c>
      <c r="H839" s="19">
        <f>1020000000/1000</f>
        <v>1020000</v>
      </c>
      <c r="I839" s="19">
        <f>[1]TOBEPAID!I637/1000</f>
        <v>0</v>
      </c>
      <c r="J839" s="19">
        <f>[1]TOBEPAID!J637/1000</f>
        <v>0</v>
      </c>
      <c r="K839" s="19">
        <f>[1]TOBEPAID!K637/1000</f>
        <v>0</v>
      </c>
      <c r="L839" s="19">
        <f>[1]TOBEPAID!L637/1000</f>
        <v>0</v>
      </c>
      <c r="M839" s="19">
        <f>[1]TOBEPAID!M637/1000</f>
        <v>0</v>
      </c>
      <c r="N839" s="19">
        <f>[1]TOBEPAID!N637/1000</f>
        <v>90000</v>
      </c>
      <c r="O839" s="19">
        <f>[1]TOBEPAID!O637/1000</f>
        <v>0</v>
      </c>
      <c r="P839" s="19">
        <f>[1]TOBEPAID!P637/1000</f>
        <v>0</v>
      </c>
      <c r="Q839" s="19">
        <f>[1]TOBEPAID!Q637/1000</f>
        <v>0</v>
      </c>
      <c r="R839" s="19">
        <v>0</v>
      </c>
      <c r="S839" s="19">
        <f>[1]TOBEPAID!S637/1000</f>
        <v>0</v>
      </c>
      <c r="T839" s="19">
        <f>[1]TOBEPAID!T637/1000</f>
        <v>0</v>
      </c>
      <c r="U839" s="19">
        <f>[1]TOBEPAID!U637/1000</f>
        <v>0</v>
      </c>
      <c r="V839" s="19">
        <f>[1]TOBEPAID!V637/1000</f>
        <v>0</v>
      </c>
      <c r="W839" s="19">
        <f>[1]TOBEPAID!W637/1000</f>
        <v>0</v>
      </c>
      <c r="X839" s="19">
        <f>[1]TOBEPAID!X637/1000</f>
        <v>0</v>
      </c>
      <c r="Y839" s="19">
        <f>+H839+R839</f>
        <v>1020000</v>
      </c>
      <c r="Z839" s="19">
        <f>[1]TOBEPAID!Z637/1000</f>
        <v>0</v>
      </c>
      <c r="AA839" s="19">
        <f>[1]TOBEPAID!AA637/1000</f>
        <v>90000</v>
      </c>
      <c r="AB839" s="19">
        <f>[1]TOBEPAID!AB637/1000</f>
        <v>0</v>
      </c>
      <c r="AC839" s="19"/>
      <c r="AD839" s="19"/>
    </row>
    <row r="840" spans="1:30" x14ac:dyDescent="0.2">
      <c r="C840" s="3" t="s">
        <v>76</v>
      </c>
      <c r="D840" s="19">
        <f>12000000/1000</f>
        <v>12000</v>
      </c>
      <c r="E840" s="19"/>
      <c r="F840" s="19"/>
      <c r="G840" s="19"/>
      <c r="H840" s="19">
        <f>12000000/1000</f>
        <v>12000</v>
      </c>
      <c r="I840" s="19"/>
      <c r="J840" s="19"/>
      <c r="K840" s="19"/>
      <c r="L840" s="19"/>
      <c r="M840" s="19"/>
      <c r="N840" s="19"/>
      <c r="O840" s="19"/>
      <c r="P840" s="19"/>
      <c r="Q840" s="19"/>
      <c r="R840" s="19">
        <v>0</v>
      </c>
      <c r="S840" s="19"/>
      <c r="T840" s="19"/>
      <c r="U840" s="19"/>
      <c r="V840" s="19"/>
      <c r="W840" s="19"/>
      <c r="X840" s="19"/>
      <c r="Y840" s="19">
        <f>+H840+R843</f>
        <v>12000</v>
      </c>
      <c r="Z840" s="19">
        <f>+D840-Y840</f>
        <v>0</v>
      </c>
      <c r="AA840" s="19"/>
      <c r="AB840" s="19"/>
      <c r="AC840" s="19"/>
      <c r="AD840" s="19"/>
    </row>
    <row r="841" spans="1:30" x14ac:dyDescent="0.2">
      <c r="C841" s="3" t="s">
        <v>270</v>
      </c>
      <c r="D841" s="19">
        <f>39553000/1000</f>
        <v>39553</v>
      </c>
      <c r="E841" s="19"/>
      <c r="F841" s="19"/>
      <c r="G841" s="19"/>
      <c r="H841" s="19">
        <f>39553000/1000</f>
        <v>39553</v>
      </c>
      <c r="I841" s="19"/>
      <c r="J841" s="19"/>
      <c r="K841" s="19"/>
      <c r="L841" s="19"/>
      <c r="M841" s="19"/>
      <c r="N841" s="19"/>
      <c r="O841" s="19"/>
      <c r="P841" s="19"/>
      <c r="Q841" s="19"/>
      <c r="R841" s="19">
        <v>0</v>
      </c>
      <c r="S841" s="19"/>
      <c r="T841" s="19"/>
      <c r="U841" s="19"/>
      <c r="V841" s="19"/>
      <c r="W841" s="19"/>
      <c r="X841" s="19"/>
      <c r="Y841" s="19">
        <f>+H841+R841</f>
        <v>39553</v>
      </c>
      <c r="Z841" s="19">
        <f>+D841-Y841</f>
        <v>0</v>
      </c>
      <c r="AA841" s="19"/>
      <c r="AB841" s="19"/>
      <c r="AC841" s="19"/>
      <c r="AD841" s="19"/>
    </row>
    <row r="842" spans="1:30" x14ac:dyDescent="0.2">
      <c r="C842" s="3" t="s">
        <v>271</v>
      </c>
      <c r="D842" s="19">
        <f>5922947/1000</f>
        <v>5922.9470000000001</v>
      </c>
      <c r="E842" s="19"/>
      <c r="F842" s="19"/>
      <c r="G842" s="19"/>
      <c r="H842" s="19">
        <f>5922947/1000</f>
        <v>5922.9470000000001</v>
      </c>
      <c r="I842" s="19"/>
      <c r="J842" s="19"/>
      <c r="K842" s="19"/>
      <c r="L842" s="19"/>
      <c r="M842" s="19"/>
      <c r="N842" s="19"/>
      <c r="O842" s="19"/>
      <c r="P842" s="19"/>
      <c r="Q842" s="19"/>
      <c r="R842" s="19">
        <v>0</v>
      </c>
      <c r="S842" s="19"/>
      <c r="T842" s="19"/>
      <c r="U842" s="19"/>
      <c r="V842" s="19"/>
      <c r="W842" s="19"/>
      <c r="X842" s="19"/>
      <c r="Y842" s="19">
        <f>+H842+R842</f>
        <v>5922.9470000000001</v>
      </c>
      <c r="Z842" s="19">
        <f>+D842-Y842</f>
        <v>0</v>
      </c>
      <c r="AA842" s="19"/>
      <c r="AB842" s="19"/>
      <c r="AC842" s="19"/>
      <c r="AD842" s="19"/>
    </row>
    <row r="843" spans="1:30" x14ac:dyDescent="0.2">
      <c r="C843" s="3" t="s">
        <v>197</v>
      </c>
      <c r="D843" s="19">
        <v>0</v>
      </c>
      <c r="E843" s="19">
        <f>[1]TOBEPAID!E638/1000</f>
        <v>48814.406009999999</v>
      </c>
      <c r="F843" s="19">
        <f>[1]TOBEPAID!F638/1000</f>
        <v>0</v>
      </c>
      <c r="G843" s="19">
        <f>[1]TOBEPAID!G638/1000</f>
        <v>0</v>
      </c>
      <c r="H843" s="19">
        <v>0</v>
      </c>
      <c r="I843" s="19">
        <f>[1]TOBEPAID!I638/1000</f>
        <v>0</v>
      </c>
      <c r="J843" s="19">
        <f>[1]TOBEPAID!J638/1000</f>
        <v>0</v>
      </c>
      <c r="K843" s="19">
        <f>[1]TOBEPAID!K638/1000</f>
        <v>0</v>
      </c>
      <c r="L843" s="19">
        <f>[1]TOBEPAID!L638/1000</f>
        <v>0</v>
      </c>
      <c r="M843" s="19">
        <f>[1]TOBEPAID!M638/1000</f>
        <v>0</v>
      </c>
      <c r="N843" s="19">
        <f>[1]TOBEPAID!N638/1000</f>
        <v>48814.406009999999</v>
      </c>
      <c r="O843" s="19">
        <f>[1]TOBEPAID!O638/1000</f>
        <v>0</v>
      </c>
      <c r="P843" s="19">
        <f>[1]TOBEPAID!P638/1000</f>
        <v>0</v>
      </c>
      <c r="Q843" s="19">
        <f>[1]TOBEPAID!Q638/1000</f>
        <v>0</v>
      </c>
      <c r="R843" s="19">
        <v>0</v>
      </c>
      <c r="S843" s="19">
        <f>[1]TOBEPAID!S638/1000</f>
        <v>0</v>
      </c>
      <c r="T843" s="19">
        <f>[1]TOBEPAID!T638/1000</f>
        <v>0</v>
      </c>
      <c r="U843" s="19">
        <f>[1]TOBEPAID!U638/1000</f>
        <v>0</v>
      </c>
      <c r="V843" s="19">
        <f>[1]TOBEPAID!V638/1000</f>
        <v>0</v>
      </c>
      <c r="W843" s="19">
        <f>[1]TOBEPAID!W638/1000</f>
        <v>0</v>
      </c>
      <c r="X843" s="19">
        <f>[1]TOBEPAID!X638/1000</f>
        <v>0</v>
      </c>
      <c r="Y843" s="19">
        <f>+H843+R843</f>
        <v>0</v>
      </c>
      <c r="Z843" s="19">
        <f>[1]TOBEPAID!Z638/1000</f>
        <v>0</v>
      </c>
      <c r="AA843" s="19">
        <f>[1]TOBEPAID!AA638/1000</f>
        <v>48814.406009999999</v>
      </c>
      <c r="AB843" s="19">
        <f>[1]TOBEPAID!AB638/1000</f>
        <v>0</v>
      </c>
      <c r="AC843" s="19"/>
      <c r="AD843" s="19"/>
    </row>
    <row r="844" spans="1:30" x14ac:dyDescent="0.2">
      <c r="A844" s="18"/>
      <c r="C844" s="3" t="s">
        <v>87</v>
      </c>
      <c r="D844" s="19">
        <v>0</v>
      </c>
      <c r="E844" s="19">
        <f>[1]TOBEPAID!E639/1000</f>
        <v>0</v>
      </c>
      <c r="F844" s="19">
        <f>[1]TOBEPAID!F639/1000</f>
        <v>0</v>
      </c>
      <c r="G844" s="19">
        <f>[1]TOBEPAID!G639/1000</f>
        <v>0</v>
      </c>
      <c r="H844" s="19">
        <v>0</v>
      </c>
      <c r="I844" s="19">
        <f>[1]TOBEPAID!I639/1000</f>
        <v>0</v>
      </c>
      <c r="J844" s="19">
        <f>[1]TOBEPAID!J639/1000</f>
        <v>0</v>
      </c>
      <c r="K844" s="19">
        <f>[1]TOBEPAID!K639/1000</f>
        <v>0</v>
      </c>
      <c r="L844" s="19">
        <f>[1]TOBEPAID!L639/1000</f>
        <v>0</v>
      </c>
      <c r="M844" s="19">
        <f>[1]TOBEPAID!M639/1000</f>
        <v>0</v>
      </c>
      <c r="N844" s="19">
        <f>[1]TOBEPAID!N639/1000</f>
        <v>0</v>
      </c>
      <c r="O844" s="19">
        <f>[1]TOBEPAID!O639/1000</f>
        <v>0</v>
      </c>
      <c r="P844" s="19">
        <f>[1]TOBEPAID!P639/1000</f>
        <v>0</v>
      </c>
      <c r="Q844" s="19">
        <f>[1]TOBEPAID!Q639/1000</f>
        <v>0</v>
      </c>
      <c r="R844" s="19">
        <v>0</v>
      </c>
      <c r="S844" s="19">
        <f>[1]TOBEPAID!S639/1000</f>
        <v>0</v>
      </c>
      <c r="T844" s="19">
        <f>[1]TOBEPAID!T639/1000</f>
        <v>0</v>
      </c>
      <c r="U844" s="19">
        <f>[1]TOBEPAID!U639/1000</f>
        <v>0</v>
      </c>
      <c r="V844" s="19">
        <f>[1]TOBEPAID!V639/1000</f>
        <v>0</v>
      </c>
      <c r="W844" s="19">
        <f>[1]TOBEPAID!W639/1000</f>
        <v>0</v>
      </c>
      <c r="X844" s="19">
        <f>[1]TOBEPAID!X639/1000</f>
        <v>0</v>
      </c>
      <c r="Y844" s="19">
        <f>+H844+R844</f>
        <v>0</v>
      </c>
      <c r="Z844" s="19">
        <f>+D844-Y844</f>
        <v>0</v>
      </c>
      <c r="AA844" s="19">
        <f>[1]TOBEPAID!AA639/1000</f>
        <v>0</v>
      </c>
      <c r="AB844" s="19">
        <f>[1]TOBEPAID!AB639/1000</f>
        <v>8999.353720000001</v>
      </c>
      <c r="AC844" s="19"/>
      <c r="AD844" s="19"/>
    </row>
    <row r="845" spans="1:30" x14ac:dyDescent="0.2">
      <c r="A845" s="18"/>
      <c r="C845" s="3" t="s">
        <v>88</v>
      </c>
      <c r="D845" s="19">
        <v>0</v>
      </c>
      <c r="E845" s="19">
        <f>[1]TOBEPAID!E640/1000</f>
        <v>0</v>
      </c>
      <c r="F845" s="19">
        <f>[1]TOBEPAID!F640/1000</f>
        <v>0</v>
      </c>
      <c r="G845" s="19">
        <f>[1]TOBEPAID!G640/1000</f>
        <v>0</v>
      </c>
      <c r="H845" s="19">
        <v>0</v>
      </c>
      <c r="I845" s="19">
        <f>[1]TOBEPAID!I640/1000</f>
        <v>0</v>
      </c>
      <c r="J845" s="19">
        <f>[1]TOBEPAID!J640/1000</f>
        <v>0</v>
      </c>
      <c r="K845" s="19">
        <f>[1]TOBEPAID!K640/1000</f>
        <v>0</v>
      </c>
      <c r="L845" s="19">
        <f>[1]TOBEPAID!L640/1000</f>
        <v>0</v>
      </c>
      <c r="M845" s="19">
        <f>[1]TOBEPAID!M640/1000</f>
        <v>0</v>
      </c>
      <c r="N845" s="19">
        <f>[1]TOBEPAID!N640/1000</f>
        <v>0</v>
      </c>
      <c r="O845" s="19">
        <f>[1]TOBEPAID!O640/1000</f>
        <v>0</v>
      </c>
      <c r="P845" s="19">
        <f>[1]TOBEPAID!P640/1000</f>
        <v>0</v>
      </c>
      <c r="Q845" s="19">
        <f>[1]TOBEPAID!Q640/1000</f>
        <v>0</v>
      </c>
      <c r="R845" s="19">
        <v>0</v>
      </c>
      <c r="S845" s="19">
        <f>[1]TOBEPAID!S640/1000</f>
        <v>0</v>
      </c>
      <c r="T845" s="19">
        <f>[1]TOBEPAID!T640/1000</f>
        <v>0</v>
      </c>
      <c r="U845" s="19">
        <f>[1]TOBEPAID!U640/1000</f>
        <v>0</v>
      </c>
      <c r="V845" s="19">
        <f>[1]TOBEPAID!V640/1000</f>
        <v>0</v>
      </c>
      <c r="W845" s="19">
        <f>[1]TOBEPAID!W640/1000</f>
        <v>0</v>
      </c>
      <c r="X845" s="19">
        <f>[1]TOBEPAID!X640/1000</f>
        <v>0</v>
      </c>
      <c r="Y845" s="19">
        <f>[1]TOBEPAID!Y640/1000</f>
        <v>0</v>
      </c>
      <c r="Z845" s="19">
        <f>[1]TOBEPAID!Z640/1000</f>
        <v>0</v>
      </c>
      <c r="AA845" s="19">
        <f>[1]TOBEPAID!AA640/1000</f>
        <v>0</v>
      </c>
      <c r="AB845" s="19">
        <f>[1]TOBEPAID!AB640/1000</f>
        <v>0</v>
      </c>
      <c r="AC845" s="19"/>
      <c r="AD845" s="19"/>
    </row>
    <row r="846" spans="1:30" x14ac:dyDescent="0.2">
      <c r="A846" s="18"/>
      <c r="D846" s="21" t="s">
        <v>57</v>
      </c>
      <c r="E846" s="21" t="s">
        <v>57</v>
      </c>
      <c r="F846" s="21" t="s">
        <v>57</v>
      </c>
      <c r="G846" s="21"/>
      <c r="H846" s="21" t="s">
        <v>57</v>
      </c>
      <c r="I846" s="21" t="s">
        <v>57</v>
      </c>
      <c r="J846" s="21" t="s">
        <v>57</v>
      </c>
      <c r="K846" s="21" t="s">
        <v>57</v>
      </c>
      <c r="L846" s="21" t="s">
        <v>57</v>
      </c>
      <c r="M846" s="21"/>
      <c r="N846" s="21" t="s">
        <v>57</v>
      </c>
      <c r="O846" s="21" t="s">
        <v>57</v>
      </c>
      <c r="P846" s="21" t="s">
        <v>57</v>
      </c>
      <c r="Q846" s="21"/>
      <c r="R846" s="21" t="s">
        <v>57</v>
      </c>
      <c r="S846" s="21" t="s">
        <v>57</v>
      </c>
      <c r="T846" s="21" t="s">
        <v>57</v>
      </c>
      <c r="U846" s="21" t="s">
        <v>57</v>
      </c>
      <c r="V846" s="21" t="s">
        <v>57</v>
      </c>
      <c r="W846" s="21"/>
      <c r="X846" s="21" t="s">
        <v>57</v>
      </c>
      <c r="Y846" s="21" t="s">
        <v>57</v>
      </c>
      <c r="Z846" s="21" t="s">
        <v>57</v>
      </c>
      <c r="AA846" s="21" t="s">
        <v>57</v>
      </c>
      <c r="AB846" s="21" t="s">
        <v>57</v>
      </c>
      <c r="AC846" s="21"/>
      <c r="AD846" s="21"/>
    </row>
    <row r="847" spans="1:30" x14ac:dyDescent="0.2">
      <c r="A847" s="18"/>
      <c r="D847" s="30">
        <f>SUM(D837:D845)</f>
        <v>1087914.9110000001</v>
      </c>
      <c r="E847" s="30">
        <f>SUM(E837:E845)</f>
        <v>109863.18700999999</v>
      </c>
      <c r="F847" s="30">
        <f>SUM(F837:F845)</f>
        <v>30000</v>
      </c>
      <c r="G847" s="30"/>
      <c r="H847" s="30">
        <f>SUM(H837:H845)</f>
        <v>1084395.4080000001</v>
      </c>
      <c r="I847" s="30">
        <f>SUM(I837:I845)</f>
        <v>0</v>
      </c>
      <c r="J847" s="30">
        <f>SUM(J837:J845)</f>
        <v>0</v>
      </c>
      <c r="K847" s="30">
        <f>SUM(K837:K845)</f>
        <v>0</v>
      </c>
      <c r="L847" s="30">
        <f>SUM(L837:L845)</f>
        <v>0</v>
      </c>
      <c r="M847" s="30"/>
      <c r="N847" s="30">
        <f>SUM(N837:N845)</f>
        <v>139863.18700999999</v>
      </c>
      <c r="O847" s="30">
        <f>SUM(O837:O845)</f>
        <v>137.28860999999998</v>
      </c>
      <c r="P847" s="30">
        <f>SUM(P837:P845)</f>
        <v>0</v>
      </c>
      <c r="Q847" s="30"/>
      <c r="R847" s="30">
        <f>SUM(R837:R845)</f>
        <v>137.28800000000001</v>
      </c>
      <c r="S847" s="30">
        <f>SUM(S837:S845)</f>
        <v>0</v>
      </c>
      <c r="T847" s="30">
        <f>SUM(T837:T845)</f>
        <v>0</v>
      </c>
      <c r="U847" s="30">
        <f>SUM(U837:U845)</f>
        <v>0</v>
      </c>
      <c r="V847" s="30">
        <f>SUM(V837:V845)</f>
        <v>0</v>
      </c>
      <c r="W847" s="30"/>
      <c r="X847" s="30">
        <f>SUM(X837:X845)</f>
        <v>137.28860999999998</v>
      </c>
      <c r="Y847" s="30">
        <f>SUM(Y837:Y845)</f>
        <v>1084532.6959999998</v>
      </c>
      <c r="Z847" s="30">
        <f>SUM(Z837:Z845)</f>
        <v>3382.2150000000001</v>
      </c>
      <c r="AA847" s="30">
        <f>SUM(AA837:AA845)</f>
        <v>140000.47562000001</v>
      </c>
      <c r="AB847" s="30">
        <f>SUM(AB837:AB845)</f>
        <v>9252.8949800000009</v>
      </c>
      <c r="AC847" s="30"/>
      <c r="AD847" s="30"/>
    </row>
    <row r="848" spans="1:30" x14ac:dyDescent="0.2">
      <c r="A848" s="18"/>
      <c r="D848" s="21" t="s">
        <v>57</v>
      </c>
      <c r="E848" s="21" t="s">
        <v>57</v>
      </c>
      <c r="F848" s="21" t="s">
        <v>57</v>
      </c>
      <c r="G848" s="21"/>
      <c r="H848" s="21" t="s">
        <v>57</v>
      </c>
      <c r="I848" s="21" t="s">
        <v>57</v>
      </c>
      <c r="J848" s="21" t="s">
        <v>57</v>
      </c>
      <c r="K848" s="21" t="s">
        <v>57</v>
      </c>
      <c r="L848" s="21" t="s">
        <v>57</v>
      </c>
      <c r="M848" s="21"/>
      <c r="N848" s="21" t="s">
        <v>57</v>
      </c>
      <c r="O848" s="21" t="s">
        <v>57</v>
      </c>
      <c r="P848" s="21" t="s">
        <v>57</v>
      </c>
      <c r="Q848" s="21"/>
      <c r="R848" s="21" t="s">
        <v>57</v>
      </c>
      <c r="S848" s="21" t="s">
        <v>57</v>
      </c>
      <c r="T848" s="21" t="s">
        <v>57</v>
      </c>
      <c r="U848" s="21" t="s">
        <v>57</v>
      </c>
      <c r="V848" s="21" t="s">
        <v>57</v>
      </c>
      <c r="W848" s="21"/>
      <c r="X848" s="21" t="s">
        <v>57</v>
      </c>
      <c r="Y848" s="21" t="s">
        <v>57</v>
      </c>
      <c r="Z848" s="21" t="s">
        <v>57</v>
      </c>
      <c r="AA848" s="21" t="s">
        <v>57</v>
      </c>
      <c r="AB848" s="21" t="s">
        <v>57</v>
      </c>
      <c r="AC848" s="21"/>
      <c r="AD848" s="21"/>
    </row>
    <row r="849" spans="1:45" x14ac:dyDescent="0.2">
      <c r="A849" s="18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1:45" x14ac:dyDescent="0.2">
      <c r="A850" s="18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1:45" x14ac:dyDescent="0.2">
      <c r="A851" s="18">
        <v>63</v>
      </c>
      <c r="B851" s="3" t="s">
        <v>272</v>
      </c>
      <c r="C851" s="17" t="s">
        <v>51</v>
      </c>
      <c r="D851" s="19">
        <v>0</v>
      </c>
      <c r="E851" s="19">
        <f>[1]TOBEPAID!E644/1000</f>
        <v>0</v>
      </c>
      <c r="F851" s="19">
        <f>[1]TOBEPAID!F644/1000</f>
        <v>0</v>
      </c>
      <c r="G851" s="19">
        <f>[1]TOBEPAID!G644/1000</f>
        <v>0</v>
      </c>
      <c r="H851" s="19">
        <v>0</v>
      </c>
      <c r="I851" s="19">
        <f>[1]TOBEPAID!I644/1000</f>
        <v>0</v>
      </c>
      <c r="J851" s="19">
        <f>[1]TOBEPAID!J644/1000</f>
        <v>0</v>
      </c>
      <c r="K851" s="19">
        <f>[1]TOBEPAID!K644/1000</f>
        <v>0</v>
      </c>
      <c r="L851" s="19">
        <f>[1]TOBEPAID!L644/1000</f>
        <v>0</v>
      </c>
      <c r="M851" s="19">
        <f>[1]TOBEPAID!M644/1000</f>
        <v>0</v>
      </c>
      <c r="N851" s="19">
        <f>[1]TOBEPAID!N644/1000</f>
        <v>0</v>
      </c>
      <c r="O851" s="19">
        <f>[1]TOBEPAID!O644/1000</f>
        <v>0</v>
      </c>
      <c r="P851" s="19">
        <f>[1]TOBEPAID!P644/1000</f>
        <v>0</v>
      </c>
      <c r="Q851" s="19">
        <f>[1]TOBEPAID!Q644/1000</f>
        <v>0</v>
      </c>
      <c r="R851" s="19">
        <v>0</v>
      </c>
      <c r="S851" s="19">
        <f>[1]TOBEPAID!S644/1000</f>
        <v>0</v>
      </c>
      <c r="T851" s="19">
        <f>[1]TOBEPAID!T644/1000</f>
        <v>0</v>
      </c>
      <c r="U851" s="19">
        <f>[1]TOBEPAID!U644/1000</f>
        <v>0</v>
      </c>
      <c r="V851" s="19">
        <f>[1]TOBEPAID!V644/1000</f>
        <v>0</v>
      </c>
      <c r="W851" s="19">
        <f>[1]TOBEPAID!W644/1000</f>
        <v>0</v>
      </c>
      <c r="X851" s="19">
        <f>[1]TOBEPAID!X644/1000</f>
        <v>0</v>
      </c>
      <c r="Y851" s="19">
        <f>+H851+R851</f>
        <v>0</v>
      </c>
      <c r="Z851" s="19">
        <f>+D851-Y851</f>
        <v>0</v>
      </c>
      <c r="AA851" s="19">
        <f>[1]TOBEPAID!AA644/1000</f>
        <v>0</v>
      </c>
      <c r="AB851" s="19">
        <f>[1]TOBEPAID!AB644/1000</f>
        <v>0</v>
      </c>
      <c r="AC851" s="19"/>
      <c r="AD851" s="19"/>
    </row>
    <row r="852" spans="1:45" x14ac:dyDescent="0.2">
      <c r="A852" s="18"/>
      <c r="C852" s="3" t="s">
        <v>52</v>
      </c>
      <c r="D852" s="19">
        <f>1175671/1000</f>
        <v>1175.671</v>
      </c>
      <c r="E852" s="19">
        <f>[1]TOBEPAID!E645/1000</f>
        <v>1175.671</v>
      </c>
      <c r="F852" s="19">
        <f>[1]TOBEPAID!F645/1000</f>
        <v>0</v>
      </c>
      <c r="G852" s="19">
        <f>[1]TOBEPAID!G645/1000</f>
        <v>0</v>
      </c>
      <c r="H852" s="19">
        <f>1175671/1000</f>
        <v>1175.671</v>
      </c>
      <c r="I852" s="19">
        <f>[1]TOBEPAID!I645/1000</f>
        <v>0</v>
      </c>
      <c r="J852" s="19">
        <f>[1]TOBEPAID!J645/1000</f>
        <v>0</v>
      </c>
      <c r="K852" s="19">
        <f>[1]TOBEPAID!K645/1000</f>
        <v>0</v>
      </c>
      <c r="L852" s="19">
        <f>[1]TOBEPAID!L645/1000</f>
        <v>0</v>
      </c>
      <c r="M852" s="19">
        <f>[1]TOBEPAID!M645/1000</f>
        <v>0</v>
      </c>
      <c r="N852" s="19">
        <f>[1]TOBEPAID!N645/1000</f>
        <v>1175.671</v>
      </c>
      <c r="O852" s="19">
        <f>[1]TOBEPAID!O645/1000</f>
        <v>0</v>
      </c>
      <c r="P852" s="19">
        <f>[1]TOBEPAID!P645/1000</f>
        <v>0</v>
      </c>
      <c r="Q852" s="19">
        <f>[1]TOBEPAID!Q645/1000</f>
        <v>0</v>
      </c>
      <c r="R852" s="19">
        <v>0</v>
      </c>
      <c r="S852" s="19">
        <f>[1]TOBEPAID!S645/1000</f>
        <v>0</v>
      </c>
      <c r="T852" s="19">
        <f>[1]TOBEPAID!T645/1000</f>
        <v>0</v>
      </c>
      <c r="U852" s="19">
        <f>[1]TOBEPAID!U645/1000</f>
        <v>0</v>
      </c>
      <c r="V852" s="19">
        <f>[1]TOBEPAID!V645/1000</f>
        <v>0</v>
      </c>
      <c r="W852" s="19">
        <f>[1]TOBEPAID!W645/1000</f>
        <v>0</v>
      </c>
      <c r="X852" s="19">
        <f>[1]TOBEPAID!X645/1000</f>
        <v>0</v>
      </c>
      <c r="Y852" s="19">
        <f>+H852+R852</f>
        <v>1175.671</v>
      </c>
      <c r="Z852" s="19">
        <f>+D852-Y852</f>
        <v>0</v>
      </c>
      <c r="AA852" s="19">
        <f>[1]TOBEPAID!AA645/1000</f>
        <v>1175.671</v>
      </c>
      <c r="AB852" s="19">
        <f>[1]TOBEPAID!AB645/1000</f>
        <v>0</v>
      </c>
      <c r="AC852" s="19"/>
      <c r="AD852" s="19"/>
    </row>
    <row r="853" spans="1:45" x14ac:dyDescent="0.2">
      <c r="C853" s="3" t="s">
        <v>53</v>
      </c>
      <c r="D853" s="19">
        <f>7200537/1000</f>
        <v>7200.5370000000003</v>
      </c>
      <c r="E853" s="19">
        <f>[1]TOBEPAID!E646/1000</f>
        <v>7200.5375000000004</v>
      </c>
      <c r="F853" s="19">
        <f>[1]TOBEPAID!F646/1000</f>
        <v>0</v>
      </c>
      <c r="G853" s="19">
        <f>[1]TOBEPAID!G646/1000</f>
        <v>0</v>
      </c>
      <c r="H853" s="19">
        <f>7200537/1000</f>
        <v>7200.5370000000003</v>
      </c>
      <c r="I853" s="19">
        <f>[1]TOBEPAID!I646/1000</f>
        <v>0</v>
      </c>
      <c r="J853" s="19">
        <f>[1]TOBEPAID!J646/1000</f>
        <v>0</v>
      </c>
      <c r="K853" s="19">
        <f>[1]TOBEPAID!K646/1000</f>
        <v>0</v>
      </c>
      <c r="L853" s="19">
        <f>[1]TOBEPAID!L646/1000</f>
        <v>0</v>
      </c>
      <c r="M853" s="19">
        <f>[1]TOBEPAID!M646/1000</f>
        <v>0</v>
      </c>
      <c r="N853" s="19">
        <f>[1]TOBEPAID!N646/1000</f>
        <v>7200.5375000000004</v>
      </c>
      <c r="O853" s="19">
        <f>[1]TOBEPAID!O646/1000</f>
        <v>0</v>
      </c>
      <c r="P853" s="19">
        <f>[1]TOBEPAID!P646/1000</f>
        <v>0</v>
      </c>
      <c r="Q853" s="19">
        <f>[1]TOBEPAID!Q646/1000</f>
        <v>0</v>
      </c>
      <c r="R853" s="19">
        <v>0</v>
      </c>
      <c r="S853" s="19">
        <f>[1]TOBEPAID!S646/1000</f>
        <v>0</v>
      </c>
      <c r="T853" s="19">
        <f>[1]TOBEPAID!T646/1000</f>
        <v>0</v>
      </c>
      <c r="U853" s="19">
        <f>[1]TOBEPAID!U646/1000</f>
        <v>0</v>
      </c>
      <c r="V853" s="19">
        <f>[1]TOBEPAID!V646/1000</f>
        <v>0</v>
      </c>
      <c r="W853" s="19">
        <f>[1]TOBEPAID!W646/1000</f>
        <v>0</v>
      </c>
      <c r="X853" s="19">
        <f>[1]TOBEPAID!X646/1000</f>
        <v>0</v>
      </c>
      <c r="Y853" s="19">
        <f>+H853+R853</f>
        <v>7200.5370000000003</v>
      </c>
      <c r="Z853" s="19">
        <f>+D853-Y853</f>
        <v>0</v>
      </c>
      <c r="AA853" s="19">
        <f>[1]TOBEPAID!AA646/1000</f>
        <v>7200.5375000000004</v>
      </c>
      <c r="AB853" s="19">
        <f>[1]TOBEPAID!AB646/1000</f>
        <v>0</v>
      </c>
      <c r="AC853" s="19"/>
      <c r="AD853" s="19"/>
    </row>
    <row r="854" spans="1:45" x14ac:dyDescent="0.2">
      <c r="A854" s="18"/>
      <c r="C854" s="3" t="s">
        <v>87</v>
      </c>
      <c r="D854" s="19">
        <f>23584845/1000</f>
        <v>23584.845000000001</v>
      </c>
      <c r="E854" s="19">
        <f>[1]TOBEPAID!E647/1000</f>
        <v>0</v>
      </c>
      <c r="F854" s="19">
        <f>[1]TOBEPAID!F647/1000</f>
        <v>0</v>
      </c>
      <c r="G854" s="19">
        <f>[1]TOBEPAID!G647/1000</f>
        <v>0</v>
      </c>
      <c r="H854" s="19">
        <v>0</v>
      </c>
      <c r="I854" s="19">
        <f>[1]TOBEPAID!I647/1000</f>
        <v>0</v>
      </c>
      <c r="J854" s="19">
        <f>[1]TOBEPAID!J647/1000</f>
        <v>0</v>
      </c>
      <c r="K854" s="19">
        <f>[1]TOBEPAID!K647/1000</f>
        <v>0</v>
      </c>
      <c r="L854" s="19">
        <f>[1]TOBEPAID!L647/1000</f>
        <v>0</v>
      </c>
      <c r="M854" s="19">
        <f>[1]TOBEPAID!M647/1000</f>
        <v>0</v>
      </c>
      <c r="N854" s="19">
        <f>[1]TOBEPAID!N647/1000</f>
        <v>0</v>
      </c>
      <c r="O854" s="19">
        <f>[1]TOBEPAID!O647/1000</f>
        <v>0</v>
      </c>
      <c r="P854" s="19">
        <f>[1]TOBEPAID!P647/1000</f>
        <v>0</v>
      </c>
      <c r="Q854" s="19">
        <f>[1]TOBEPAID!Q647/1000</f>
        <v>0</v>
      </c>
      <c r="R854" s="19">
        <f>928498.4/1000</f>
        <v>928.49840000000006</v>
      </c>
      <c r="S854" s="19">
        <f>[1]TOBEPAID!S647/1000</f>
        <v>0</v>
      </c>
      <c r="T854" s="19">
        <f>[1]TOBEPAID!T647/1000</f>
        <v>0</v>
      </c>
      <c r="U854" s="19">
        <f>[1]TOBEPAID!U647/1000</f>
        <v>0</v>
      </c>
      <c r="V854" s="19">
        <f>[1]TOBEPAID!V647/1000</f>
        <v>0</v>
      </c>
      <c r="W854" s="19">
        <f>[1]TOBEPAID!W647/1000</f>
        <v>0</v>
      </c>
      <c r="X854" s="19">
        <f>[1]TOBEPAID!X647/1000</f>
        <v>0</v>
      </c>
      <c r="Y854" s="19">
        <f>+H854+R854</f>
        <v>928.49840000000006</v>
      </c>
      <c r="Z854" s="19">
        <f>+D854-Y854</f>
        <v>22656.346600000001</v>
      </c>
      <c r="AA854" s="19">
        <f>[1]TOBEPAID!AA647/1000</f>
        <v>0</v>
      </c>
      <c r="AB854" s="19">
        <f>[1]TOBEPAID!AB647/1000</f>
        <v>23584.845269999998</v>
      </c>
      <c r="AC854" s="19"/>
      <c r="AD854" s="19"/>
    </row>
    <row r="855" spans="1:45" x14ac:dyDescent="0.2">
      <c r="A855" s="18"/>
      <c r="D855" s="21" t="s">
        <v>57</v>
      </c>
      <c r="E855" s="21" t="s">
        <v>57</v>
      </c>
      <c r="F855" s="21" t="s">
        <v>57</v>
      </c>
      <c r="G855" s="21"/>
      <c r="H855" s="21" t="s">
        <v>57</v>
      </c>
      <c r="I855" s="21" t="s">
        <v>57</v>
      </c>
      <c r="J855" s="21" t="s">
        <v>57</v>
      </c>
      <c r="K855" s="21" t="s">
        <v>57</v>
      </c>
      <c r="L855" s="21" t="s">
        <v>57</v>
      </c>
      <c r="M855" s="21"/>
      <c r="N855" s="21" t="s">
        <v>57</v>
      </c>
      <c r="O855" s="21" t="s">
        <v>57</v>
      </c>
      <c r="P855" s="21" t="s">
        <v>57</v>
      </c>
      <c r="Q855" s="21"/>
      <c r="R855" s="21" t="s">
        <v>57</v>
      </c>
      <c r="S855" s="21" t="s">
        <v>57</v>
      </c>
      <c r="T855" s="21" t="s">
        <v>57</v>
      </c>
      <c r="U855" s="21" t="s">
        <v>57</v>
      </c>
      <c r="V855" s="21" t="s">
        <v>57</v>
      </c>
      <c r="W855" s="21"/>
      <c r="X855" s="21" t="s">
        <v>57</v>
      </c>
      <c r="Y855" s="21" t="s">
        <v>57</v>
      </c>
      <c r="Z855" s="21" t="s">
        <v>57</v>
      </c>
      <c r="AA855" s="21" t="s">
        <v>57</v>
      </c>
      <c r="AB855" s="21" t="s">
        <v>57</v>
      </c>
      <c r="AC855" s="21"/>
      <c r="AD855" s="21"/>
    </row>
    <row r="856" spans="1:45" x14ac:dyDescent="0.2">
      <c r="A856" s="18"/>
      <c r="D856" s="30">
        <f>SUM(D851:D854)</f>
        <v>31961.053</v>
      </c>
      <c r="E856" s="30">
        <f>SUM(E851:E854)</f>
        <v>8376.2085000000006</v>
      </c>
      <c r="F856" s="30">
        <f>SUM(F851:F854)</f>
        <v>0</v>
      </c>
      <c r="G856" s="30"/>
      <c r="H856" s="30">
        <f>SUM(H851:H854)</f>
        <v>8376.2080000000005</v>
      </c>
      <c r="I856" s="30">
        <f>SUM(I851:I854)</f>
        <v>0</v>
      </c>
      <c r="J856" s="30">
        <f>SUM(J851:J854)</f>
        <v>0</v>
      </c>
      <c r="K856" s="30">
        <f>SUM(K851:K854)</f>
        <v>0</v>
      </c>
      <c r="L856" s="30">
        <f>SUM(L851:L854)</f>
        <v>0</v>
      </c>
      <c r="M856" s="30"/>
      <c r="N856" s="30">
        <f>SUM(N851:N854)</f>
        <v>8376.2085000000006</v>
      </c>
      <c r="O856" s="30">
        <f>SUM(O851:O854)</f>
        <v>0</v>
      </c>
      <c r="P856" s="30">
        <f>SUM(P851:P854)</f>
        <v>0</v>
      </c>
      <c r="Q856" s="30"/>
      <c r="R856" s="30">
        <f>SUM(R851:R854)</f>
        <v>928.49840000000006</v>
      </c>
      <c r="S856" s="30">
        <f>SUM(S851:S854)</f>
        <v>0</v>
      </c>
      <c r="T856" s="30">
        <f>SUM(T851:T854)</f>
        <v>0</v>
      </c>
      <c r="U856" s="30">
        <f>SUM(U851:U854)</f>
        <v>0</v>
      </c>
      <c r="V856" s="30">
        <f>SUM(V851:V854)</f>
        <v>0</v>
      </c>
      <c r="W856" s="30"/>
      <c r="X856" s="30">
        <f>SUM(X851:X854)</f>
        <v>0</v>
      </c>
      <c r="Y856" s="30">
        <f>SUM(Y851:Y854)</f>
        <v>9304.7064000000009</v>
      </c>
      <c r="Z856" s="30">
        <f>SUM(Z851:Z854)</f>
        <v>22656.346600000001</v>
      </c>
      <c r="AA856" s="30">
        <f>SUM(AA851:AA854)</f>
        <v>8376.2085000000006</v>
      </c>
      <c r="AB856" s="30">
        <f>SUM(AB851:AB854)</f>
        <v>23584.845269999998</v>
      </c>
      <c r="AC856" s="30"/>
      <c r="AD856" s="30"/>
    </row>
    <row r="857" spans="1:45" x14ac:dyDescent="0.2">
      <c r="A857" s="18"/>
      <c r="D857" s="21" t="s">
        <v>57</v>
      </c>
      <c r="E857" s="21" t="s">
        <v>57</v>
      </c>
      <c r="F857" s="21" t="s">
        <v>57</v>
      </c>
      <c r="G857" s="21"/>
      <c r="H857" s="21" t="s">
        <v>57</v>
      </c>
      <c r="I857" s="21" t="s">
        <v>57</v>
      </c>
      <c r="J857" s="21" t="s">
        <v>57</v>
      </c>
      <c r="K857" s="21" t="s">
        <v>57</v>
      </c>
      <c r="L857" s="21" t="s">
        <v>57</v>
      </c>
      <c r="M857" s="21"/>
      <c r="N857" s="21" t="s">
        <v>57</v>
      </c>
      <c r="O857" s="21" t="s">
        <v>57</v>
      </c>
      <c r="P857" s="21" t="s">
        <v>57</v>
      </c>
      <c r="Q857" s="21"/>
      <c r="R857" s="21" t="s">
        <v>57</v>
      </c>
      <c r="S857" s="21" t="s">
        <v>57</v>
      </c>
      <c r="T857" s="21" t="s">
        <v>57</v>
      </c>
      <c r="U857" s="21" t="s">
        <v>57</v>
      </c>
      <c r="V857" s="21" t="s">
        <v>57</v>
      </c>
      <c r="W857" s="21"/>
      <c r="X857" s="21" t="s">
        <v>57</v>
      </c>
      <c r="Y857" s="21" t="s">
        <v>57</v>
      </c>
      <c r="Z857" s="21" t="s">
        <v>57</v>
      </c>
      <c r="AA857" s="21" t="s">
        <v>57</v>
      </c>
      <c r="AB857" s="21" t="s">
        <v>57</v>
      </c>
      <c r="AC857" s="21"/>
      <c r="AD857" s="21"/>
      <c r="AS857" s="34">
        <f>+AF860-AK860-AP860</f>
        <v>0</v>
      </c>
    </row>
    <row r="858" spans="1:45" x14ac:dyDescent="0.2">
      <c r="A858" s="18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S858" s="34"/>
    </row>
    <row r="859" spans="1:45" x14ac:dyDescent="0.2">
      <c r="A859" s="18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S859" s="34"/>
    </row>
    <row r="860" spans="1:45" x14ac:dyDescent="0.2">
      <c r="A860" s="18">
        <v>64</v>
      </c>
      <c r="B860" s="3" t="s">
        <v>273</v>
      </c>
      <c r="C860" s="17" t="s">
        <v>51</v>
      </c>
      <c r="D860" s="19">
        <f>95297742/1000</f>
        <v>95297.741999999998</v>
      </c>
      <c r="E860" s="19">
        <f>[1]TOBEPAID!E651/1000</f>
        <v>0</v>
      </c>
      <c r="F860" s="19">
        <f>[1]TOBEPAID!F651/1000</f>
        <v>0</v>
      </c>
      <c r="G860" s="19">
        <f>[1]TOBEPAID!G651/1000</f>
        <v>0</v>
      </c>
      <c r="H860" s="19">
        <f>95234653/1000</f>
        <v>95234.653000000006</v>
      </c>
      <c r="I860" s="19">
        <f>[1]TOBEPAID!I651/1000</f>
        <v>0</v>
      </c>
      <c r="J860" s="19">
        <f>[1]TOBEPAID!J651/1000</f>
        <v>0</v>
      </c>
      <c r="K860" s="19">
        <f>[1]TOBEPAID!K651/1000</f>
        <v>0</v>
      </c>
      <c r="L860" s="19">
        <f>[1]TOBEPAID!L651/1000</f>
        <v>0</v>
      </c>
      <c r="M860" s="19">
        <f>[1]TOBEPAID!M651/1000</f>
        <v>0</v>
      </c>
      <c r="N860" s="19">
        <f>[1]TOBEPAID!N651/1000</f>
        <v>0</v>
      </c>
      <c r="O860" s="19">
        <f>[1]TOBEPAID!O651/1000</f>
        <v>0</v>
      </c>
      <c r="P860" s="19">
        <f>[1]TOBEPAID!P651/1000</f>
        <v>0</v>
      </c>
      <c r="Q860" s="19">
        <f>[1]TOBEPAID!Q651/1000</f>
        <v>0</v>
      </c>
      <c r="R860" s="19">
        <v>0</v>
      </c>
      <c r="S860" s="19">
        <f>[1]TOBEPAID!S651/1000</f>
        <v>0</v>
      </c>
      <c r="T860" s="19">
        <f>[1]TOBEPAID!T651/1000</f>
        <v>0</v>
      </c>
      <c r="U860" s="19">
        <f>[1]TOBEPAID!U651/1000</f>
        <v>0</v>
      </c>
      <c r="V860" s="19">
        <f>[1]TOBEPAID!V651/1000</f>
        <v>0</v>
      </c>
      <c r="W860" s="19">
        <f>[1]TOBEPAID!W651/1000</f>
        <v>0</v>
      </c>
      <c r="X860" s="19">
        <f>[1]TOBEPAID!X651/1000</f>
        <v>0</v>
      </c>
      <c r="Y860" s="19">
        <f>+H860+R860</f>
        <v>95234.653000000006</v>
      </c>
      <c r="Z860" s="19">
        <f t="shared" ref="Z860:Z869" si="154">+D860-Y860</f>
        <v>63.088999999992666</v>
      </c>
      <c r="AA860" s="19">
        <f>[1]TOBEPAID!AA651/1000</f>
        <v>0</v>
      </c>
      <c r="AB860" s="19">
        <f>[1]TOBEPAID!AB651/1000</f>
        <v>17329.61447</v>
      </c>
      <c r="AC860" s="19"/>
      <c r="AD860" s="19"/>
      <c r="AF860" s="34">
        <f>+D861</f>
        <v>3000</v>
      </c>
      <c r="AG860" s="34">
        <f>+E861</f>
        <v>3000</v>
      </c>
      <c r="AH860" s="34">
        <f>+F861</f>
        <v>0</v>
      </c>
      <c r="AI860" s="34">
        <f>+AG860+AH860</f>
        <v>3000</v>
      </c>
      <c r="AJ860" s="34">
        <f>+L861</f>
        <v>0</v>
      </c>
      <c r="AK860" s="34">
        <f>+AI860+AJ860</f>
        <v>3000</v>
      </c>
      <c r="AL860" s="34">
        <f>+O861</f>
        <v>0</v>
      </c>
      <c r="AM860" s="34">
        <f>+P861</f>
        <v>0</v>
      </c>
      <c r="AN860" s="34">
        <f>+AL860+AM860</f>
        <v>0</v>
      </c>
      <c r="AO860" s="34">
        <f>+V861</f>
        <v>0</v>
      </c>
      <c r="AP860" s="34">
        <f>+AN860+AO860</f>
        <v>0</v>
      </c>
      <c r="AQ860" s="34">
        <f>+AI860+AN860</f>
        <v>3000</v>
      </c>
      <c r="AR860" s="34">
        <f>+AF860-AQ860</f>
        <v>0</v>
      </c>
      <c r="AS860" s="34">
        <f>+AF861-AK861-AP861</f>
        <v>-5.0000000192085281E-4</v>
      </c>
    </row>
    <row r="861" spans="1:45" x14ac:dyDescent="0.2">
      <c r="C861" s="3" t="s">
        <v>78</v>
      </c>
      <c r="D861" s="19">
        <f>3000000/1000</f>
        <v>3000</v>
      </c>
      <c r="E861" s="19">
        <f>[1]TOBEPAID!E652/1000</f>
        <v>3000</v>
      </c>
      <c r="F861" s="19">
        <f>[1]TOBEPAID!F652/1000</f>
        <v>0</v>
      </c>
      <c r="G861" s="19">
        <f>[1]TOBEPAID!G652/1000</f>
        <v>0</v>
      </c>
      <c r="H861" s="19">
        <f>3000000/1000</f>
        <v>3000</v>
      </c>
      <c r="I861" s="19">
        <f>[1]TOBEPAID!I652/1000</f>
        <v>0</v>
      </c>
      <c r="J861" s="19">
        <f>[1]TOBEPAID!J652/1000</f>
        <v>0</v>
      </c>
      <c r="K861" s="19">
        <f>[1]TOBEPAID!K652/1000</f>
        <v>0</v>
      </c>
      <c r="L861" s="19">
        <f>[1]TOBEPAID!L652/1000</f>
        <v>0</v>
      </c>
      <c r="M861" s="19">
        <f>[1]TOBEPAID!M652/1000</f>
        <v>0</v>
      </c>
      <c r="N861" s="19">
        <f>[1]TOBEPAID!N652/1000</f>
        <v>3000</v>
      </c>
      <c r="O861" s="19">
        <f>[1]TOBEPAID!O652/1000</f>
        <v>0</v>
      </c>
      <c r="P861" s="19">
        <f>[1]TOBEPAID!P652/1000</f>
        <v>0</v>
      </c>
      <c r="Q861" s="19">
        <f>[1]TOBEPAID!Q652/1000</f>
        <v>0</v>
      </c>
      <c r="R861" s="19">
        <v>0</v>
      </c>
      <c r="S861" s="19">
        <f>[1]TOBEPAID!S652/1000</f>
        <v>0</v>
      </c>
      <c r="T861" s="19">
        <f>[1]TOBEPAID!T652/1000</f>
        <v>0</v>
      </c>
      <c r="U861" s="19">
        <f>[1]TOBEPAID!U652/1000</f>
        <v>0</v>
      </c>
      <c r="V861" s="19">
        <f>[1]TOBEPAID!V652/1000</f>
        <v>0</v>
      </c>
      <c r="W861" s="19">
        <f>[1]TOBEPAID!W652/1000</f>
        <v>0</v>
      </c>
      <c r="X861" s="19">
        <f>[1]TOBEPAID!X652/1000</f>
        <v>0</v>
      </c>
      <c r="Y861" s="19">
        <f t="shared" ref="Y861:Y869" si="155">+H861+R861</f>
        <v>3000</v>
      </c>
      <c r="Z861" s="19">
        <f t="shared" si="154"/>
        <v>0</v>
      </c>
      <c r="AA861" s="19">
        <f>[1]TOBEPAID!AA652/1000</f>
        <v>3000</v>
      </c>
      <c r="AB861" s="19">
        <f>[1]TOBEPAID!AB652/1000</f>
        <v>0</v>
      </c>
      <c r="AC861" s="19"/>
      <c r="AD861" s="19"/>
      <c r="AE861" s="25" t="s">
        <v>78</v>
      </c>
      <c r="AF861" s="34">
        <f>+D853+D792+D764</f>
        <v>21733.412329999999</v>
      </c>
      <c r="AG861" s="34">
        <f>+E853+E792+E764</f>
        <v>21733.412830000001</v>
      </c>
      <c r="AH861" s="34">
        <f>+F853+F792+F764</f>
        <v>0</v>
      </c>
      <c r="AI861" s="34">
        <f>+AG861+AH861</f>
        <v>21733.412830000001</v>
      </c>
      <c r="AJ861" s="34">
        <f>+L764</f>
        <v>0</v>
      </c>
      <c r="AK861" s="34">
        <f>+AI861+AJ861</f>
        <v>21733.412830000001</v>
      </c>
      <c r="AL861" s="34">
        <f>+O853+O792+O764</f>
        <v>0</v>
      </c>
      <c r="AM861" s="34">
        <f>+P853+P792+P764</f>
        <v>0</v>
      </c>
      <c r="AN861" s="34">
        <f>+AL861+AM861</f>
        <v>0</v>
      </c>
      <c r="AO861" s="34">
        <f>+V764</f>
        <v>0</v>
      </c>
      <c r="AP861" s="34">
        <f>+AN861+AO861</f>
        <v>0</v>
      </c>
      <c r="AQ861" s="34">
        <f>+AI861+AN861</f>
        <v>21733.412830000001</v>
      </c>
      <c r="AR861" s="34">
        <f>+AF861-AQ861</f>
        <v>-5.0000000192085281E-4</v>
      </c>
      <c r="AS861" s="34">
        <f>+AF862-AK862-AP862</f>
        <v>-111259.44873999999</v>
      </c>
    </row>
    <row r="862" spans="1:45" x14ac:dyDescent="0.2">
      <c r="A862" s="18"/>
      <c r="C862" s="3" t="s">
        <v>52</v>
      </c>
      <c r="D862" s="19">
        <f>2119977/1000</f>
        <v>2119.9769999999999</v>
      </c>
      <c r="E862" s="19">
        <f>[1]TOBEPAID!E653/1000</f>
        <v>2119.9769999999999</v>
      </c>
      <c r="F862" s="19">
        <f>[1]TOBEPAID!F653/1000</f>
        <v>0</v>
      </c>
      <c r="G862" s="19">
        <f>[1]TOBEPAID!G653/1000</f>
        <v>0</v>
      </c>
      <c r="H862" s="19">
        <f>2119977/1000</f>
        <v>2119.9769999999999</v>
      </c>
      <c r="I862" s="19">
        <f>[1]TOBEPAID!I653/1000</f>
        <v>0</v>
      </c>
      <c r="J862" s="19">
        <f>[1]TOBEPAID!J653/1000</f>
        <v>0</v>
      </c>
      <c r="K862" s="19">
        <f>[1]TOBEPAID!K653/1000</f>
        <v>0</v>
      </c>
      <c r="L862" s="19">
        <f>[1]TOBEPAID!L653/1000</f>
        <v>0</v>
      </c>
      <c r="M862" s="19">
        <f>[1]TOBEPAID!M653/1000</f>
        <v>0</v>
      </c>
      <c r="N862" s="19">
        <f>[1]TOBEPAID!N653/1000</f>
        <v>2119.9769999999999</v>
      </c>
      <c r="O862" s="19">
        <f>[1]TOBEPAID!O653/1000</f>
        <v>0</v>
      </c>
      <c r="P862" s="19">
        <f>[1]TOBEPAID!P653/1000</f>
        <v>0</v>
      </c>
      <c r="Q862" s="19">
        <f>[1]TOBEPAID!Q653/1000</f>
        <v>0</v>
      </c>
      <c r="R862" s="19">
        <v>0</v>
      </c>
      <c r="S862" s="19">
        <f>[1]TOBEPAID!S653/1000</f>
        <v>0</v>
      </c>
      <c r="T862" s="19">
        <f>[1]TOBEPAID!T653/1000</f>
        <v>0</v>
      </c>
      <c r="U862" s="19">
        <f>[1]TOBEPAID!U653/1000</f>
        <v>0</v>
      </c>
      <c r="V862" s="19">
        <f>[1]TOBEPAID!V653/1000</f>
        <v>0</v>
      </c>
      <c r="W862" s="19">
        <f>[1]TOBEPAID!W653/1000</f>
        <v>0</v>
      </c>
      <c r="X862" s="19">
        <f>[1]TOBEPAID!X653/1000</f>
        <v>0</v>
      </c>
      <c r="Y862" s="19">
        <f t="shared" si="155"/>
        <v>2119.9769999999999</v>
      </c>
      <c r="Z862" s="19">
        <f t="shared" si="154"/>
        <v>0</v>
      </c>
      <c r="AA862" s="19">
        <f>[1]TOBEPAID!AA653/1000</f>
        <v>2119.9769999999999</v>
      </c>
      <c r="AB862" s="19">
        <f>[1]TOBEPAID!AB653/1000</f>
        <v>0</v>
      </c>
      <c r="AC862" s="19"/>
      <c r="AD862" s="19"/>
      <c r="AE862" s="25" t="s">
        <v>72</v>
      </c>
      <c r="AF862" s="34">
        <f>+D790+D761+D843</f>
        <v>0</v>
      </c>
      <c r="AG862" s="34">
        <f>+E790+E761+E843</f>
        <v>111259.44873999999</v>
      </c>
      <c r="AH862" s="34">
        <f>+F761+F843</f>
        <v>0</v>
      </c>
      <c r="AI862" s="34">
        <f>+AG862+AH862</f>
        <v>111259.44873999999</v>
      </c>
      <c r="AJ862" s="34">
        <f>+L761</f>
        <v>0</v>
      </c>
      <c r="AK862" s="34">
        <f>+AI862+AJ862</f>
        <v>111259.44873999999</v>
      </c>
      <c r="AL862" s="34">
        <f>+O761+O843</f>
        <v>0</v>
      </c>
      <c r="AM862" s="34">
        <f>+P761+P843</f>
        <v>0</v>
      </c>
      <c r="AN862" s="34">
        <f>+AL862+AM862</f>
        <v>0</v>
      </c>
      <c r="AO862" s="34">
        <f>+V761+V843</f>
        <v>0</v>
      </c>
      <c r="AP862" s="34">
        <f>+AN862+AO862</f>
        <v>0</v>
      </c>
      <c r="AQ862" s="34">
        <f>+AI862+AN862</f>
        <v>111259.44873999999</v>
      </c>
      <c r="AR862" s="34">
        <f>+AF862-AQ862</f>
        <v>-111259.44873999999</v>
      </c>
    </row>
    <row r="863" spans="1:45" x14ac:dyDescent="0.2">
      <c r="A863" s="18"/>
      <c r="C863" s="3" t="s">
        <v>274</v>
      </c>
      <c r="D863" s="19">
        <f>9500000/1000</f>
        <v>9500</v>
      </c>
      <c r="E863" s="19">
        <f>[1]TOBEPAID!E654/1000</f>
        <v>9500</v>
      </c>
      <c r="F863" s="19">
        <f>[1]TOBEPAID!F654/1000</f>
        <v>0</v>
      </c>
      <c r="G863" s="19">
        <f>[1]TOBEPAID!G654/1000</f>
        <v>0</v>
      </c>
      <c r="H863" s="19">
        <f>9500000/1000</f>
        <v>9500</v>
      </c>
      <c r="I863" s="19">
        <f>[1]TOBEPAID!I654/1000</f>
        <v>0</v>
      </c>
      <c r="J863" s="19">
        <f>[1]TOBEPAID!J654/1000</f>
        <v>0</v>
      </c>
      <c r="K863" s="19">
        <f>[1]TOBEPAID!K654/1000</f>
        <v>0</v>
      </c>
      <c r="L863" s="19">
        <f>[1]TOBEPAID!L654/1000</f>
        <v>0</v>
      </c>
      <c r="M863" s="19">
        <f>[1]TOBEPAID!M654/1000</f>
        <v>0</v>
      </c>
      <c r="N863" s="19">
        <f>[1]TOBEPAID!N654/1000</f>
        <v>9500</v>
      </c>
      <c r="O863" s="19">
        <f>[1]TOBEPAID!O654/1000</f>
        <v>0</v>
      </c>
      <c r="P863" s="19">
        <f>[1]TOBEPAID!P654/1000</f>
        <v>0</v>
      </c>
      <c r="Q863" s="19">
        <f>[1]TOBEPAID!Q654/1000</f>
        <v>0</v>
      </c>
      <c r="R863" s="19">
        <v>0</v>
      </c>
      <c r="S863" s="19">
        <f>[1]TOBEPAID!S654/1000</f>
        <v>0</v>
      </c>
      <c r="T863" s="19">
        <f>[1]TOBEPAID!T654/1000</f>
        <v>0</v>
      </c>
      <c r="U863" s="19">
        <f>[1]TOBEPAID!U654/1000</f>
        <v>0</v>
      </c>
      <c r="V863" s="19">
        <f>[1]TOBEPAID!V654/1000</f>
        <v>0</v>
      </c>
      <c r="W863" s="19">
        <f>[1]TOBEPAID!W654/1000</f>
        <v>0</v>
      </c>
      <c r="X863" s="19">
        <f>[1]TOBEPAID!X654/1000</f>
        <v>0</v>
      </c>
      <c r="Y863" s="19">
        <f t="shared" si="155"/>
        <v>9500</v>
      </c>
      <c r="Z863" s="19">
        <f t="shared" si="154"/>
        <v>0</v>
      </c>
      <c r="AA863" s="19">
        <f>[1]TOBEPAID!AA654/1000</f>
        <v>9500</v>
      </c>
      <c r="AB863" s="19">
        <f>[1]TOBEPAID!AB654/1000</f>
        <v>0</v>
      </c>
      <c r="AC863" s="19"/>
      <c r="AD863" s="19"/>
      <c r="AE863" s="25" t="s">
        <v>197</v>
      </c>
      <c r="AS863" s="34">
        <f>+AF865-AK865-AP865</f>
        <v>3955958.2977000005</v>
      </c>
    </row>
    <row r="864" spans="1:45" x14ac:dyDescent="0.2">
      <c r="A864" s="18"/>
      <c r="C864" s="3" t="s">
        <v>65</v>
      </c>
      <c r="D864" s="19">
        <f>49712000/1000</f>
        <v>49712</v>
      </c>
      <c r="E864" s="19"/>
      <c r="F864" s="19"/>
      <c r="G864" s="19"/>
      <c r="H864" s="19">
        <f>49712000/1000</f>
        <v>49712</v>
      </c>
      <c r="I864" s="19"/>
      <c r="J864" s="19"/>
      <c r="K864" s="19"/>
      <c r="L864" s="19"/>
      <c r="M864" s="19"/>
      <c r="N864" s="19"/>
      <c r="O864" s="19"/>
      <c r="P864" s="19"/>
      <c r="Q864" s="19"/>
      <c r="R864" s="19">
        <v>0</v>
      </c>
      <c r="S864" s="19"/>
      <c r="T864" s="19"/>
      <c r="U864" s="19"/>
      <c r="V864" s="19"/>
      <c r="W864" s="19"/>
      <c r="X864" s="19"/>
      <c r="Y864" s="19">
        <f t="shared" si="155"/>
        <v>49712</v>
      </c>
      <c r="Z864" s="19">
        <f t="shared" si="154"/>
        <v>0</v>
      </c>
      <c r="AA864" s="19"/>
      <c r="AB864" s="19"/>
      <c r="AC864" s="19"/>
      <c r="AD864" s="19"/>
      <c r="AE864" s="25"/>
      <c r="AS864" s="34"/>
    </row>
    <row r="865" spans="1:45" x14ac:dyDescent="0.2">
      <c r="C865" s="3" t="s">
        <v>67</v>
      </c>
      <c r="D865" s="19">
        <f>1886958298/1000</f>
        <v>1886958.298</v>
      </c>
      <c r="E865" s="19">
        <f>[1]TOBEPAID!E655/1000</f>
        <v>100000</v>
      </c>
      <c r="F865" s="19">
        <f>[1]TOBEPAID!F655/1000</f>
        <v>25000</v>
      </c>
      <c r="G865" s="19">
        <f>[1]TOBEPAID!G655/1000</f>
        <v>0</v>
      </c>
      <c r="H865" s="19">
        <f>1886958298/1000</f>
        <v>1886958.298</v>
      </c>
      <c r="I865" s="19">
        <f>[1]TOBEPAID!I655/1000</f>
        <v>0</v>
      </c>
      <c r="J865" s="19">
        <f>[1]TOBEPAID!J655/1000</f>
        <v>0</v>
      </c>
      <c r="K865" s="19">
        <f>[1]TOBEPAID!K655/1000</f>
        <v>0</v>
      </c>
      <c r="L865" s="19">
        <f>[1]TOBEPAID!L655/1000</f>
        <v>0</v>
      </c>
      <c r="M865" s="19">
        <f>[1]TOBEPAID!M655/1000</f>
        <v>0</v>
      </c>
      <c r="N865" s="19">
        <f>[1]TOBEPAID!N655/1000</f>
        <v>125000</v>
      </c>
      <c r="O865" s="19">
        <f>[1]TOBEPAID!O655/1000</f>
        <v>0</v>
      </c>
      <c r="P865" s="19">
        <f>[1]TOBEPAID!P655/1000</f>
        <v>0</v>
      </c>
      <c r="Q865" s="19">
        <f>[1]TOBEPAID!Q655/1000</f>
        <v>0</v>
      </c>
      <c r="R865" s="19">
        <v>0</v>
      </c>
      <c r="S865" s="19">
        <f>[1]TOBEPAID!S655/1000</f>
        <v>0</v>
      </c>
      <c r="T865" s="19">
        <f>[1]TOBEPAID!T655/1000</f>
        <v>0</v>
      </c>
      <c r="U865" s="19">
        <f>[1]TOBEPAID!U655/1000</f>
        <v>0</v>
      </c>
      <c r="V865" s="19">
        <f>[1]TOBEPAID!V655/1000</f>
        <v>0</v>
      </c>
      <c r="W865" s="19">
        <f>[1]TOBEPAID!W655/1000</f>
        <v>0</v>
      </c>
      <c r="X865" s="19">
        <f>[1]TOBEPAID!X655/1000</f>
        <v>0</v>
      </c>
      <c r="Y865" s="19">
        <f t="shared" si="155"/>
        <v>1886958.298</v>
      </c>
      <c r="Z865" s="19">
        <f t="shared" si="154"/>
        <v>0</v>
      </c>
      <c r="AA865" s="19">
        <f>[1]TOBEPAID!AA655/1000</f>
        <v>125000</v>
      </c>
      <c r="AB865" s="19">
        <f>[1]TOBEPAID!AB655/1000</f>
        <v>0</v>
      </c>
      <c r="AC865" s="19"/>
      <c r="AD865" s="19"/>
      <c r="AF865" s="34">
        <f>+D795+D865+D839+D770</f>
        <v>4479003.6960000005</v>
      </c>
      <c r="AG865" s="34">
        <f>+E795+E865+E839+E770</f>
        <v>421045.3983</v>
      </c>
      <c r="AH865" s="34">
        <f>+F865+F795+F839+F770</f>
        <v>102000</v>
      </c>
      <c r="AI865" s="34">
        <f>+AG865+AH865</f>
        <v>523045.3983</v>
      </c>
      <c r="AJ865" s="34">
        <f>+L795+L865+L839+L770</f>
        <v>0</v>
      </c>
      <c r="AK865" s="34">
        <f>+AI865+AJ865</f>
        <v>523045.3983</v>
      </c>
      <c r="AL865" s="34">
        <f>+O795+O865+O839+O770</f>
        <v>0</v>
      </c>
      <c r="AM865" s="34">
        <f>+P795+P865+P839+P770</f>
        <v>0</v>
      </c>
      <c r="AN865" s="34">
        <f>+AL865+AM865</f>
        <v>0</v>
      </c>
      <c r="AO865" s="34">
        <f>+V795+V865+V839+V770</f>
        <v>0</v>
      </c>
      <c r="AP865" s="34">
        <f>+AN865+AO865</f>
        <v>0</v>
      </c>
      <c r="AQ865" s="34">
        <f>+AI865+AN865</f>
        <v>523045.3983</v>
      </c>
      <c r="AR865" s="34">
        <f>+AF865-AQ865</f>
        <v>3955958.2977000005</v>
      </c>
      <c r="AS865" s="34">
        <f>+AF867-AK867-AP867</f>
        <v>255443.16922999997</v>
      </c>
    </row>
    <row r="866" spans="1:45" x14ac:dyDescent="0.2">
      <c r="C866" s="3" t="s">
        <v>275</v>
      </c>
      <c r="D866" s="19">
        <f>4153259/1000</f>
        <v>4153.259</v>
      </c>
      <c r="E866" s="19"/>
      <c r="F866" s="19"/>
      <c r="G866" s="19"/>
      <c r="H866" s="19">
        <f>4153259/1000</f>
        <v>4153.259</v>
      </c>
      <c r="I866" s="19"/>
      <c r="J866" s="19"/>
      <c r="K866" s="19"/>
      <c r="L866" s="19"/>
      <c r="M866" s="19"/>
      <c r="N866" s="19"/>
      <c r="O866" s="19"/>
      <c r="P866" s="19"/>
      <c r="Q866" s="19"/>
      <c r="R866" s="19">
        <v>0</v>
      </c>
      <c r="S866" s="19"/>
      <c r="T866" s="19"/>
      <c r="U866" s="19"/>
      <c r="V866" s="19"/>
      <c r="W866" s="19"/>
      <c r="X866" s="19"/>
      <c r="Y866" s="19">
        <f t="shared" si="155"/>
        <v>4153.259</v>
      </c>
      <c r="Z866" s="19">
        <f t="shared" si="154"/>
        <v>0</v>
      </c>
      <c r="AA866" s="19"/>
      <c r="AB866" s="19"/>
      <c r="AC866" s="19"/>
      <c r="AD866" s="19"/>
      <c r="AF866" s="34"/>
      <c r="AG866" s="34"/>
      <c r="AH866" s="34"/>
      <c r="AI866" s="34"/>
      <c r="AJ866" s="34"/>
      <c r="AK866" s="34"/>
      <c r="AL866" s="34"/>
      <c r="AM866" s="34"/>
      <c r="AN866" s="34"/>
      <c r="AO866" s="34"/>
      <c r="AP866" s="34"/>
      <c r="AQ866" s="34"/>
      <c r="AR866" s="34"/>
      <c r="AS866" s="34"/>
    </row>
    <row r="867" spans="1:45" x14ac:dyDescent="0.2">
      <c r="A867" s="18"/>
      <c r="C867" s="3" t="s">
        <v>276</v>
      </c>
      <c r="D867" s="19">
        <v>0</v>
      </c>
      <c r="E867" s="19">
        <f>[1]TOBEPAID!E656/1000</f>
        <v>0</v>
      </c>
      <c r="F867" s="19">
        <f>[1]TOBEPAID!F656/1000</f>
        <v>0</v>
      </c>
      <c r="G867" s="19">
        <f>[1]TOBEPAID!G656/1000</f>
        <v>0</v>
      </c>
      <c r="H867" s="19">
        <v>0</v>
      </c>
      <c r="I867" s="19">
        <f>[1]TOBEPAID!I656/1000</f>
        <v>0</v>
      </c>
      <c r="J867" s="19">
        <f>[1]TOBEPAID!J656/1000</f>
        <v>0</v>
      </c>
      <c r="K867" s="19">
        <f>[1]TOBEPAID!K656/1000</f>
        <v>0</v>
      </c>
      <c r="L867" s="19">
        <f>[1]TOBEPAID!L656/1000</f>
        <v>0</v>
      </c>
      <c r="M867" s="19">
        <f>[1]TOBEPAID!M656/1000</f>
        <v>0</v>
      </c>
      <c r="N867" s="19">
        <f>[1]TOBEPAID!N656/1000</f>
        <v>0</v>
      </c>
      <c r="O867" s="19">
        <f>[1]TOBEPAID!O656/1000</f>
        <v>0</v>
      </c>
      <c r="P867" s="19">
        <f>[1]TOBEPAID!P656/1000</f>
        <v>0</v>
      </c>
      <c r="Q867" s="19">
        <f>[1]TOBEPAID!Q656/1000</f>
        <v>0</v>
      </c>
      <c r="R867" s="19">
        <v>0</v>
      </c>
      <c r="S867" s="19">
        <f>[1]TOBEPAID!S656/1000</f>
        <v>0</v>
      </c>
      <c r="T867" s="19">
        <f>[1]TOBEPAID!T656/1000</f>
        <v>0</v>
      </c>
      <c r="U867" s="19">
        <f>[1]TOBEPAID!U656/1000</f>
        <v>0</v>
      </c>
      <c r="V867" s="19">
        <f>[1]TOBEPAID!V656/1000</f>
        <v>0</v>
      </c>
      <c r="W867" s="19">
        <f>[1]TOBEPAID!W656/1000</f>
        <v>0</v>
      </c>
      <c r="X867" s="19">
        <f>[1]TOBEPAID!X656/1000</f>
        <v>0</v>
      </c>
      <c r="Y867" s="19">
        <f t="shared" si="155"/>
        <v>0</v>
      </c>
      <c r="Z867" s="19">
        <f t="shared" si="154"/>
        <v>0</v>
      </c>
      <c r="AA867" s="19">
        <f>[1]TOBEPAID!AA656/1000</f>
        <v>0</v>
      </c>
      <c r="AB867" s="19">
        <f>[1]TOBEPAID!AB656/1000</f>
        <v>815.03935999999999</v>
      </c>
      <c r="AC867" s="19"/>
      <c r="AD867" s="19"/>
      <c r="AE867" s="25" t="s">
        <v>86</v>
      </c>
      <c r="AF867" s="34">
        <f>D757+D778+D787+D801+D813+D824+D837+D851+D860+D875</f>
        <v>298397.29608999996</v>
      </c>
      <c r="AG867" s="34">
        <f>E757+E778+E787+E801+E813+E824+E837+E851+E860+E875</f>
        <v>31075.446</v>
      </c>
      <c r="AH867" s="34">
        <f>F757+F778+F787+F801+F813+F824+F837+F851+F860+F875</f>
        <v>0</v>
      </c>
      <c r="AI867" s="34">
        <f>+AG867+AH867</f>
        <v>31075.446</v>
      </c>
      <c r="AJ867" s="34">
        <f>L757+L778+L787+L801+L813+L824+L837+L851+L860+L875</f>
        <v>0</v>
      </c>
      <c r="AK867" s="34">
        <f>+AI867+AJ867</f>
        <v>31075.446</v>
      </c>
      <c r="AL867" s="34">
        <f>O757+O778+O787+O801+O813+O824+O837+O851+O860+O875</f>
        <v>11878.680860000002</v>
      </c>
      <c r="AM867" s="34">
        <f>P757+P778+P787+P801+P813+P824+P837+P851+P860+P875</f>
        <v>0</v>
      </c>
      <c r="AN867" s="34">
        <f>+AL867+AM867</f>
        <v>11878.680860000002</v>
      </c>
      <c r="AO867" s="34">
        <f>V757+V778+V787+V801+V813+V824+V837+V851+V860+V875</f>
        <v>0</v>
      </c>
      <c r="AP867" s="34">
        <f>+AN867+AO867</f>
        <v>11878.680860000002</v>
      </c>
      <c r="AQ867" s="34">
        <f>+AI867+AN867</f>
        <v>42954.126860000004</v>
      </c>
      <c r="AR867" s="34">
        <f>+AF867-AQ867</f>
        <v>255443.16922999994</v>
      </c>
      <c r="AS867" s="34">
        <f t="shared" ref="AS867:AS880" si="156">+AF868-AK868-AP868</f>
        <v>0</v>
      </c>
    </row>
    <row r="868" spans="1:45" x14ac:dyDescent="0.2">
      <c r="A868" s="18"/>
      <c r="C868" s="3" t="s">
        <v>87</v>
      </c>
      <c r="D868" s="19">
        <f>1138553/1000</f>
        <v>1138.5530000000001</v>
      </c>
      <c r="E868" s="19">
        <f>[1]TOBEPAID!E657/1000</f>
        <v>0</v>
      </c>
      <c r="F868" s="19">
        <f>[1]TOBEPAID!F657/1000</f>
        <v>0</v>
      </c>
      <c r="G868" s="19">
        <f>[1]TOBEPAID!G657/1000</f>
        <v>0</v>
      </c>
      <c r="H868" s="19">
        <v>0</v>
      </c>
      <c r="I868" s="19">
        <f>[1]TOBEPAID!I657/1000</f>
        <v>0</v>
      </c>
      <c r="J868" s="19">
        <f>[1]TOBEPAID!J657/1000</f>
        <v>0</v>
      </c>
      <c r="K868" s="19">
        <f>[1]TOBEPAID!K657/1000</f>
        <v>0</v>
      </c>
      <c r="L868" s="19">
        <f>[1]TOBEPAID!L657/1000</f>
        <v>0</v>
      </c>
      <c r="M868" s="19">
        <f>[1]TOBEPAID!M657/1000</f>
        <v>0</v>
      </c>
      <c r="N868" s="19">
        <f>[1]TOBEPAID!N657/1000</f>
        <v>0</v>
      </c>
      <c r="O868" s="19">
        <f>[1]TOBEPAID!O657/1000</f>
        <v>1138.5539099999999</v>
      </c>
      <c r="P868" s="19">
        <f>[1]TOBEPAID!P657/1000</f>
        <v>0</v>
      </c>
      <c r="Q868" s="19">
        <f>[1]TOBEPAID!Q657/1000</f>
        <v>0</v>
      </c>
      <c r="R868" s="19">
        <f>1138553/1000</f>
        <v>1138.5530000000001</v>
      </c>
      <c r="S868" s="19">
        <f>[1]TOBEPAID!S657/1000</f>
        <v>0</v>
      </c>
      <c r="T868" s="19">
        <f>[1]TOBEPAID!T657/1000</f>
        <v>0</v>
      </c>
      <c r="U868" s="19">
        <f>[1]TOBEPAID!U657/1000</f>
        <v>0</v>
      </c>
      <c r="V868" s="19">
        <f>[1]TOBEPAID!V657/1000</f>
        <v>0</v>
      </c>
      <c r="W868" s="19">
        <f>[1]TOBEPAID!W657/1000</f>
        <v>0</v>
      </c>
      <c r="X868" s="19">
        <f>[1]TOBEPAID!X657/1000</f>
        <v>1138.5539099999999</v>
      </c>
      <c r="Y868" s="19">
        <f t="shared" si="155"/>
        <v>1138.5530000000001</v>
      </c>
      <c r="Z868" s="19">
        <f t="shared" si="154"/>
        <v>0</v>
      </c>
      <c r="AA868" s="19">
        <f>[1]TOBEPAID!AA657/1000</f>
        <v>1138.5539099999999</v>
      </c>
      <c r="AB868" s="19">
        <f>[1]TOBEPAID!AB657/1000</f>
        <v>75621.376820000005</v>
      </c>
      <c r="AC868" s="19"/>
      <c r="AD868" s="19"/>
      <c r="AE868" s="25" t="s">
        <v>85</v>
      </c>
      <c r="AF868" s="34">
        <f>D758+D779+D788+D802+D814+D826+D838+D852+D862+D876</f>
        <v>18305.902999999998</v>
      </c>
      <c r="AG868" s="34">
        <f>E758+E779+E788+E802+E814+E826+E838+E852+E862+E876</f>
        <v>18305.902999999998</v>
      </c>
      <c r="AH868" s="34">
        <f>F758+F779+F788+F802+F814+F826+F838+F852+F862+F876</f>
        <v>0</v>
      </c>
      <c r="AI868" s="34">
        <f t="shared" ref="AI868:AI881" si="157">+AG868+AH868</f>
        <v>18305.902999999998</v>
      </c>
      <c r="AJ868" s="34">
        <f>L758+L779+L788+L802+L814+L826+L838+L852+L862+L876</f>
        <v>0</v>
      </c>
      <c r="AK868" s="34">
        <f t="shared" ref="AK868:AK881" si="158">+AI868+AJ868</f>
        <v>18305.902999999998</v>
      </c>
      <c r="AL868" s="34">
        <f>O758+O779+O788+O802+O814+O826+O838+O852+O862+O876</f>
        <v>0</v>
      </c>
      <c r="AM868" s="34">
        <f>P758+P779+P788+P802+P814+P826+P838+P852+P862+P876</f>
        <v>0</v>
      </c>
      <c r="AN868" s="34">
        <f t="shared" ref="AN868:AN881" si="159">+AL868+AM868</f>
        <v>0</v>
      </c>
      <c r="AO868" s="34">
        <f>V758+V779+V788+V802+V814+V826+V838+V852+V862+V876</f>
        <v>0</v>
      </c>
      <c r="AP868" s="34">
        <f t="shared" ref="AP868:AP881" si="160">+AN868+AO868</f>
        <v>0</v>
      </c>
      <c r="AQ868" s="34">
        <f t="shared" ref="AQ868:AQ881" si="161">+AI868+AN868</f>
        <v>18305.902999999998</v>
      </c>
      <c r="AR868" s="34">
        <f t="shared" ref="AR868:AR881" si="162">+AF868-AQ868</f>
        <v>0</v>
      </c>
      <c r="AS868" s="34">
        <f t="shared" si="156"/>
        <v>25139.385050000004</v>
      </c>
    </row>
    <row r="869" spans="1:45" x14ac:dyDescent="0.2">
      <c r="A869" s="18"/>
      <c r="C869" s="3" t="s">
        <v>88</v>
      </c>
      <c r="D869" s="19">
        <v>0</v>
      </c>
      <c r="E869" s="19">
        <f>[1]TOBEPAID!E658/1000</f>
        <v>0</v>
      </c>
      <c r="F869" s="19">
        <f>[1]TOBEPAID!F658/1000</f>
        <v>0</v>
      </c>
      <c r="G869" s="19">
        <f>[1]TOBEPAID!G658/1000</f>
        <v>0</v>
      </c>
      <c r="H869" s="19">
        <v>0</v>
      </c>
      <c r="I869" s="19">
        <f>[1]TOBEPAID!I658/1000</f>
        <v>0</v>
      </c>
      <c r="J869" s="19">
        <f>[1]TOBEPAID!J658/1000</f>
        <v>0</v>
      </c>
      <c r="K869" s="19">
        <f>[1]TOBEPAID!K658/1000</f>
        <v>0</v>
      </c>
      <c r="L869" s="19">
        <f>[1]TOBEPAID!L658/1000</f>
        <v>0</v>
      </c>
      <c r="M869" s="19">
        <f>[1]TOBEPAID!M658/1000</f>
        <v>0</v>
      </c>
      <c r="N869" s="19">
        <f>[1]TOBEPAID!N658/1000</f>
        <v>0</v>
      </c>
      <c r="O869" s="19">
        <f>[1]TOBEPAID!O658/1000</f>
        <v>0</v>
      </c>
      <c r="P869" s="19">
        <f>[1]TOBEPAID!P658/1000</f>
        <v>0</v>
      </c>
      <c r="Q869" s="19">
        <f>[1]TOBEPAID!Q658/1000</f>
        <v>0</v>
      </c>
      <c r="R869" s="19">
        <v>0</v>
      </c>
      <c r="S869" s="19">
        <f>[1]TOBEPAID!S658/1000</f>
        <v>0</v>
      </c>
      <c r="T869" s="19">
        <f>[1]TOBEPAID!T658/1000</f>
        <v>0</v>
      </c>
      <c r="U869" s="19">
        <f>[1]TOBEPAID!U658/1000</f>
        <v>0</v>
      </c>
      <c r="V869" s="19">
        <f>[1]TOBEPAID!V658/1000</f>
        <v>0</v>
      </c>
      <c r="W869" s="19">
        <f>[1]TOBEPAID!W658/1000</f>
        <v>0</v>
      </c>
      <c r="X869" s="19">
        <f>[1]TOBEPAID!X658/1000</f>
        <v>0</v>
      </c>
      <c r="Y869" s="19">
        <f t="shared" si="155"/>
        <v>0</v>
      </c>
      <c r="Z869" s="19">
        <f t="shared" si="154"/>
        <v>0</v>
      </c>
      <c r="AA869" s="19">
        <f>[1]TOBEPAID!AA658/1000</f>
        <v>0</v>
      </c>
      <c r="AB869" s="19">
        <f>[1]TOBEPAID!AB658/1000</f>
        <v>1531.71209</v>
      </c>
      <c r="AC869" s="19"/>
      <c r="AD869" s="19"/>
      <c r="AE869" s="25" t="s">
        <v>52</v>
      </c>
      <c r="AF869" s="34">
        <f>D773+D791+D804+D818+D844+D854+D868</f>
        <v>49308.518000000004</v>
      </c>
      <c r="AG869" s="34">
        <f>E773+E791+E804+E818+E844+E854+E868</f>
        <v>0</v>
      </c>
      <c r="AH869" s="34">
        <f>F773+F791+F804+F818+F844+F854+F868</f>
        <v>0</v>
      </c>
      <c r="AI869" s="34">
        <f t="shared" si="157"/>
        <v>0</v>
      </c>
      <c r="AJ869" s="34">
        <f>L773+L791+L804+L818+L844+L854+L868</f>
        <v>0</v>
      </c>
      <c r="AK869" s="34">
        <f t="shared" si="158"/>
        <v>0</v>
      </c>
      <c r="AL869" s="34">
        <f>O773+O791+O804+O818+O844+O854+O868</f>
        <v>24169.132949999999</v>
      </c>
      <c r="AM869" s="34">
        <f>P773+P791+P804+P818+P844+P854+P868</f>
        <v>0</v>
      </c>
      <c r="AN869" s="34">
        <f t="shared" si="159"/>
        <v>24169.132949999999</v>
      </c>
      <c r="AO869" s="34">
        <f>V773+V791+V804+V818+V844+V854+V868</f>
        <v>0</v>
      </c>
      <c r="AP869" s="34">
        <f t="shared" si="160"/>
        <v>24169.132949999999</v>
      </c>
      <c r="AQ869" s="34">
        <f t="shared" si="161"/>
        <v>24169.132949999999</v>
      </c>
      <c r="AR869" s="34">
        <f t="shared" si="162"/>
        <v>25139.385050000004</v>
      </c>
      <c r="AS869" s="34">
        <f t="shared" si="156"/>
        <v>0</v>
      </c>
    </row>
    <row r="870" spans="1:45" x14ac:dyDescent="0.2">
      <c r="A870" s="18"/>
      <c r="D870" s="21" t="s">
        <v>57</v>
      </c>
      <c r="E870" s="21" t="s">
        <v>57</v>
      </c>
      <c r="F870" s="21" t="s">
        <v>57</v>
      </c>
      <c r="G870" s="21"/>
      <c r="H870" s="21" t="s">
        <v>57</v>
      </c>
      <c r="I870" s="21" t="s">
        <v>57</v>
      </c>
      <c r="J870" s="21" t="s">
        <v>57</v>
      </c>
      <c r="K870" s="21" t="s">
        <v>57</v>
      </c>
      <c r="L870" s="21" t="s">
        <v>57</v>
      </c>
      <c r="M870" s="21"/>
      <c r="N870" s="21" t="s">
        <v>57</v>
      </c>
      <c r="O870" s="21" t="s">
        <v>57</v>
      </c>
      <c r="P870" s="21" t="s">
        <v>57</v>
      </c>
      <c r="Q870" s="21"/>
      <c r="R870" s="21" t="s">
        <v>57</v>
      </c>
      <c r="S870" s="21" t="s">
        <v>57</v>
      </c>
      <c r="T870" s="21" t="s">
        <v>57</v>
      </c>
      <c r="U870" s="21" t="s">
        <v>57</v>
      </c>
      <c r="V870" s="21" t="s">
        <v>57</v>
      </c>
      <c r="W870" s="21"/>
      <c r="X870" s="21" t="s">
        <v>57</v>
      </c>
      <c r="Y870" s="21" t="s">
        <v>57</v>
      </c>
      <c r="Z870" s="21" t="s">
        <v>57</v>
      </c>
      <c r="AA870" s="21" t="s">
        <v>57</v>
      </c>
      <c r="AB870" s="21" t="s">
        <v>57</v>
      </c>
      <c r="AC870" s="21"/>
      <c r="AD870" s="21"/>
      <c r="AE870" s="25" t="s">
        <v>87</v>
      </c>
      <c r="AF870" s="34">
        <f>D806+D845+D869</f>
        <v>0</v>
      </c>
      <c r="AG870" s="34">
        <f>E806+E845+E869</f>
        <v>0</v>
      </c>
      <c r="AH870" s="34">
        <f>F806+F845+F869</f>
        <v>0</v>
      </c>
      <c r="AI870" s="34">
        <f t="shared" si="157"/>
        <v>0</v>
      </c>
      <c r="AJ870" s="34">
        <f>L806+L845+L869</f>
        <v>0</v>
      </c>
      <c r="AK870" s="34">
        <f t="shared" si="158"/>
        <v>0</v>
      </c>
      <c r="AL870" s="34">
        <f>O806+O845+O869</f>
        <v>0</v>
      </c>
      <c r="AM870" s="34">
        <f>P806+P845+P869</f>
        <v>0</v>
      </c>
      <c r="AN870" s="34">
        <f t="shared" si="159"/>
        <v>0</v>
      </c>
      <c r="AO870" s="34">
        <f>V806+V845+V869</f>
        <v>0</v>
      </c>
      <c r="AP870" s="34">
        <f t="shared" si="160"/>
        <v>0</v>
      </c>
      <c r="AQ870" s="34">
        <f t="shared" si="161"/>
        <v>0</v>
      </c>
      <c r="AR870" s="34">
        <f t="shared" si="162"/>
        <v>0</v>
      </c>
      <c r="AS870" s="34">
        <f t="shared" si="156"/>
        <v>117.53</v>
      </c>
    </row>
    <row r="871" spans="1:45" x14ac:dyDescent="0.2">
      <c r="A871" s="18"/>
      <c r="D871" s="30">
        <f>SUM(D860:D869)</f>
        <v>2051879.8290000001</v>
      </c>
      <c r="E871" s="30">
        <f>SUM(E860:E869)</f>
        <v>114619.977</v>
      </c>
      <c r="F871" s="30">
        <f>SUM(F860:F869)</f>
        <v>25000</v>
      </c>
      <c r="G871" s="30"/>
      <c r="H871" s="30">
        <f>SUM(H860:H869)</f>
        <v>2050678.1869999999</v>
      </c>
      <c r="I871" s="30">
        <f>SUM(I860:I869)</f>
        <v>0</v>
      </c>
      <c r="J871" s="30">
        <f>SUM(J860:J869)</f>
        <v>0</v>
      </c>
      <c r="K871" s="30">
        <f>SUM(K860:K869)</f>
        <v>0</v>
      </c>
      <c r="L871" s="30">
        <f>SUM(L860:L869)</f>
        <v>0</v>
      </c>
      <c r="M871" s="30"/>
      <c r="N871" s="30">
        <f>SUM(N860:N869)</f>
        <v>139619.97700000001</v>
      </c>
      <c r="O871" s="30">
        <f>SUM(O860:O869)</f>
        <v>1138.5539099999999</v>
      </c>
      <c r="P871" s="30">
        <f>SUM(P860:P869)</f>
        <v>0</v>
      </c>
      <c r="Q871" s="30"/>
      <c r="R871" s="30">
        <f>SUM(R860:R869)</f>
        <v>1138.5530000000001</v>
      </c>
      <c r="S871" s="30">
        <f>SUM(S860:S869)</f>
        <v>0</v>
      </c>
      <c r="T871" s="30">
        <f>SUM(T860:T869)</f>
        <v>0</v>
      </c>
      <c r="U871" s="30">
        <f>SUM(U860:U869)</f>
        <v>0</v>
      </c>
      <c r="V871" s="30">
        <f>SUM(V860:V869)</f>
        <v>0</v>
      </c>
      <c r="W871" s="30"/>
      <c r="X871" s="30">
        <f>SUM(X860:X869)</f>
        <v>1138.5539099999999</v>
      </c>
      <c r="Y871" s="30">
        <f>SUM(Y860:Y869)</f>
        <v>2051816.74</v>
      </c>
      <c r="Z871" s="30">
        <f>SUM(Z860:Z869)</f>
        <v>63.088999999992666</v>
      </c>
      <c r="AA871" s="30">
        <f>SUM(AA860:AA869)</f>
        <v>140758.53091</v>
      </c>
      <c r="AB871" s="30">
        <f>SUM(AB860:AB869)</f>
        <v>95297.742740000002</v>
      </c>
      <c r="AC871" s="30"/>
      <c r="AD871" s="30"/>
      <c r="AE871" s="25" t="s">
        <v>88</v>
      </c>
      <c r="AF871" s="34">
        <f>D796+D805+D830</f>
        <v>117.53</v>
      </c>
      <c r="AG871" s="34">
        <f>E796+E805+E830</f>
        <v>0</v>
      </c>
      <c r="AH871" s="34">
        <f>F796+F805+F830</f>
        <v>0</v>
      </c>
      <c r="AI871" s="34">
        <f t="shared" si="157"/>
        <v>0</v>
      </c>
      <c r="AJ871" s="34">
        <f>L796+L805+L830</f>
        <v>0</v>
      </c>
      <c r="AK871" s="34">
        <f t="shared" si="158"/>
        <v>0</v>
      </c>
      <c r="AL871" s="34">
        <f>O796+O805+O830</f>
        <v>0</v>
      </c>
      <c r="AM871" s="34">
        <f>P796+P805+P830</f>
        <v>0</v>
      </c>
      <c r="AN871" s="34">
        <f t="shared" si="159"/>
        <v>0</v>
      </c>
      <c r="AO871" s="34">
        <f>V796+V805+V830</f>
        <v>0</v>
      </c>
      <c r="AP871" s="34">
        <f t="shared" si="160"/>
        <v>0</v>
      </c>
      <c r="AQ871" s="34">
        <f t="shared" si="161"/>
        <v>0</v>
      </c>
      <c r="AR871" s="34">
        <f t="shared" si="162"/>
        <v>117.53</v>
      </c>
      <c r="AS871" s="34">
        <f t="shared" si="156"/>
        <v>0</v>
      </c>
    </row>
    <row r="872" spans="1:45" x14ac:dyDescent="0.2">
      <c r="A872" s="18"/>
      <c r="D872" s="21" t="s">
        <v>57</v>
      </c>
      <c r="E872" s="21" t="s">
        <v>57</v>
      </c>
      <c r="F872" s="21" t="s">
        <v>57</v>
      </c>
      <c r="G872" s="21"/>
      <c r="H872" s="21" t="s">
        <v>57</v>
      </c>
      <c r="I872" s="21" t="s">
        <v>57</v>
      </c>
      <c r="J872" s="21" t="s">
        <v>57</v>
      </c>
      <c r="K872" s="21" t="s">
        <v>57</v>
      </c>
      <c r="L872" s="21" t="s">
        <v>57</v>
      </c>
      <c r="M872" s="21"/>
      <c r="N872" s="21" t="s">
        <v>57</v>
      </c>
      <c r="O872" s="21" t="s">
        <v>57</v>
      </c>
      <c r="P872" s="21" t="s">
        <v>57</v>
      </c>
      <c r="Q872" s="21"/>
      <c r="R872" s="21" t="s">
        <v>57</v>
      </c>
      <c r="S872" s="21" t="s">
        <v>57</v>
      </c>
      <c r="T872" s="21" t="s">
        <v>57</v>
      </c>
      <c r="U872" s="21" t="s">
        <v>57</v>
      </c>
      <c r="V872" s="21" t="s">
        <v>57</v>
      </c>
      <c r="W872" s="21"/>
      <c r="X872" s="21" t="s">
        <v>57</v>
      </c>
      <c r="Y872" s="21" t="s">
        <v>57</v>
      </c>
      <c r="Z872" s="21" t="s">
        <v>57</v>
      </c>
      <c r="AA872" s="21" t="s">
        <v>57</v>
      </c>
      <c r="AB872" s="21" t="s">
        <v>57</v>
      </c>
      <c r="AC872" s="21"/>
      <c r="AD872" s="21"/>
      <c r="AE872" s="25" t="s">
        <v>55</v>
      </c>
      <c r="AF872" s="34">
        <f>+D879</f>
        <v>2000</v>
      </c>
      <c r="AG872" s="34">
        <f>+E879</f>
        <v>2000</v>
      </c>
      <c r="AH872" s="34">
        <f>+F879</f>
        <v>0</v>
      </c>
      <c r="AI872" s="34">
        <f t="shared" si="157"/>
        <v>2000</v>
      </c>
      <c r="AJ872" s="34">
        <f>+L879</f>
        <v>0</v>
      </c>
      <c r="AK872" s="34">
        <f t="shared" si="158"/>
        <v>2000</v>
      </c>
      <c r="AL872" s="34">
        <f>+O879</f>
        <v>0</v>
      </c>
      <c r="AM872" s="34">
        <f>+P879</f>
        <v>0</v>
      </c>
      <c r="AN872" s="34">
        <f t="shared" si="159"/>
        <v>0</v>
      </c>
      <c r="AO872" s="34">
        <f>+V879</f>
        <v>0</v>
      </c>
      <c r="AP872" s="34">
        <f t="shared" si="160"/>
        <v>0</v>
      </c>
      <c r="AQ872" s="34">
        <f t="shared" si="161"/>
        <v>2000</v>
      </c>
      <c r="AR872" s="34">
        <f t="shared" si="162"/>
        <v>0</v>
      </c>
      <c r="AS872" s="34">
        <f>+AF875-AK875-AP875</f>
        <v>0</v>
      </c>
    </row>
    <row r="873" spans="1:45" x14ac:dyDescent="0.2">
      <c r="A873" s="18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5"/>
      <c r="AF873" s="34"/>
      <c r="AG873" s="34"/>
      <c r="AH873" s="34"/>
      <c r="AI873" s="34"/>
      <c r="AJ873" s="34"/>
      <c r="AK873" s="34"/>
      <c r="AL873" s="34"/>
      <c r="AM873" s="34"/>
      <c r="AN873" s="34"/>
      <c r="AO873" s="34"/>
      <c r="AP873" s="34"/>
      <c r="AQ873" s="34"/>
      <c r="AR873" s="34"/>
      <c r="AS873" s="34"/>
    </row>
    <row r="874" spans="1:45" x14ac:dyDescent="0.2">
      <c r="A874" s="18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5"/>
      <c r="AF874" s="34"/>
      <c r="AG874" s="34"/>
      <c r="AH874" s="34"/>
      <c r="AI874" s="34"/>
      <c r="AJ874" s="34"/>
      <c r="AK874" s="34"/>
      <c r="AL874" s="34"/>
      <c r="AM874" s="34"/>
      <c r="AN874" s="34"/>
      <c r="AO874" s="34"/>
      <c r="AP874" s="34"/>
      <c r="AQ874" s="34"/>
      <c r="AR874" s="34"/>
      <c r="AS874" s="34"/>
    </row>
    <row r="875" spans="1:45" x14ac:dyDescent="0.2">
      <c r="A875" s="18">
        <v>65</v>
      </c>
      <c r="B875" s="3" t="s">
        <v>277</v>
      </c>
      <c r="C875" s="17" t="s">
        <v>51</v>
      </c>
      <c r="D875" s="19">
        <f>59352000/1000</f>
        <v>59352</v>
      </c>
      <c r="E875" s="19">
        <f>[1]TOBEPAID!E662/1000</f>
        <v>0</v>
      </c>
      <c r="F875" s="19">
        <f>[1]TOBEPAID!F662/1000</f>
        <v>0</v>
      </c>
      <c r="G875" s="19">
        <f>[1]TOBEPAID!G662/1000</f>
        <v>0</v>
      </c>
      <c r="H875" s="19">
        <f>2000000/1000</f>
        <v>2000</v>
      </c>
      <c r="I875" s="19">
        <f>[1]TOBEPAID!I662/1000</f>
        <v>0</v>
      </c>
      <c r="J875" s="19">
        <f>[1]TOBEPAID!J662/1000</f>
        <v>0</v>
      </c>
      <c r="K875" s="19">
        <f>[1]TOBEPAID!K662/1000</f>
        <v>0</v>
      </c>
      <c r="L875" s="19">
        <f>[1]TOBEPAID!L662/1000</f>
        <v>0</v>
      </c>
      <c r="M875" s="19">
        <f>[1]TOBEPAID!M662/1000</f>
        <v>0</v>
      </c>
      <c r="N875" s="19">
        <f>[1]TOBEPAID!N662/1000</f>
        <v>0</v>
      </c>
      <c r="O875" s="19">
        <f>[1]TOBEPAID!O662/1000</f>
        <v>0</v>
      </c>
      <c r="P875" s="19">
        <f>[1]TOBEPAID!P662/1000</f>
        <v>0</v>
      </c>
      <c r="Q875" s="19">
        <f>[1]TOBEPAID!Q662/1000</f>
        <v>0</v>
      </c>
      <c r="R875" s="19">
        <v>0</v>
      </c>
      <c r="S875" s="19">
        <f>[1]TOBEPAID!S662/1000</f>
        <v>0</v>
      </c>
      <c r="T875" s="19">
        <f>[1]TOBEPAID!T662/1000</f>
        <v>0</v>
      </c>
      <c r="U875" s="19">
        <f>[1]TOBEPAID!U662/1000</f>
        <v>0</v>
      </c>
      <c r="V875" s="19">
        <f>[1]TOBEPAID!V662/1000</f>
        <v>0</v>
      </c>
      <c r="W875" s="19">
        <f>[1]TOBEPAID!W662/1000</f>
        <v>0</v>
      </c>
      <c r="X875" s="19">
        <f>[1]TOBEPAID!X662/1000</f>
        <v>0</v>
      </c>
      <c r="Y875" s="19">
        <f>+H875+R875</f>
        <v>2000</v>
      </c>
      <c r="Z875" s="19">
        <f>+D875-Y875</f>
        <v>57352</v>
      </c>
      <c r="AA875" s="19">
        <f>[1]TOBEPAID!AA662/1000</f>
        <v>0</v>
      </c>
      <c r="AB875" s="19">
        <f>[1]TOBEPAID!AB662/1000</f>
        <v>61351.709689999996</v>
      </c>
      <c r="AC875" s="19"/>
      <c r="AD875" s="19"/>
      <c r="AE875" s="25" t="s">
        <v>278</v>
      </c>
      <c r="AF875" s="34">
        <f>+D863</f>
        <v>9500</v>
      </c>
      <c r="AG875" s="34">
        <f>+E863</f>
        <v>9500</v>
      </c>
      <c r="AH875" s="34">
        <f>+F863</f>
        <v>0</v>
      </c>
      <c r="AI875" s="34">
        <f t="shared" si="157"/>
        <v>9500</v>
      </c>
      <c r="AJ875" s="34">
        <f>+L863</f>
        <v>0</v>
      </c>
      <c r="AK875" s="34">
        <f t="shared" si="158"/>
        <v>9500</v>
      </c>
      <c r="AL875" s="34">
        <f>+O863</f>
        <v>0</v>
      </c>
      <c r="AM875" s="34">
        <f>+P863</f>
        <v>0</v>
      </c>
      <c r="AN875" s="34">
        <f t="shared" si="159"/>
        <v>0</v>
      </c>
      <c r="AO875" s="34">
        <f>+V863</f>
        <v>0</v>
      </c>
      <c r="AP875" s="34">
        <f t="shared" si="160"/>
        <v>0</v>
      </c>
      <c r="AQ875" s="34">
        <f t="shared" si="161"/>
        <v>9500</v>
      </c>
      <c r="AR875" s="34">
        <f t="shared" si="162"/>
        <v>0</v>
      </c>
      <c r="AS875" s="34">
        <f t="shared" si="156"/>
        <v>-1.6000000050553354E-4</v>
      </c>
    </row>
    <row r="876" spans="1:45" x14ac:dyDescent="0.2">
      <c r="A876" s="18"/>
      <c r="C876" s="3" t="s">
        <v>52</v>
      </c>
      <c r="D876" s="19">
        <f>1185800/1000</f>
        <v>1185.8</v>
      </c>
      <c r="E876" s="19">
        <f>[1]TOBEPAID!E663/1000</f>
        <v>1185.8</v>
      </c>
      <c r="F876" s="19">
        <f>[1]TOBEPAID!F663/1000</f>
        <v>0</v>
      </c>
      <c r="G876" s="19">
        <f>[1]TOBEPAID!G663/1000</f>
        <v>0</v>
      </c>
      <c r="H876" s="19">
        <f>1185800/1000</f>
        <v>1185.8</v>
      </c>
      <c r="I876" s="19">
        <f>[1]TOBEPAID!I663/1000</f>
        <v>0</v>
      </c>
      <c r="J876" s="19">
        <f>[1]TOBEPAID!J663/1000</f>
        <v>0</v>
      </c>
      <c r="K876" s="19">
        <f>[1]TOBEPAID!K663/1000</f>
        <v>0</v>
      </c>
      <c r="L876" s="19">
        <f>[1]TOBEPAID!L663/1000</f>
        <v>0</v>
      </c>
      <c r="M876" s="19">
        <f>[1]TOBEPAID!M663/1000</f>
        <v>0</v>
      </c>
      <c r="N876" s="19">
        <f>[1]TOBEPAID!N663/1000</f>
        <v>1185.8</v>
      </c>
      <c r="O876" s="19">
        <f>[1]TOBEPAID!O663/1000</f>
        <v>0</v>
      </c>
      <c r="P876" s="19">
        <f>[1]TOBEPAID!P663/1000</f>
        <v>0</v>
      </c>
      <c r="Q876" s="19">
        <f>[1]TOBEPAID!Q663/1000</f>
        <v>0</v>
      </c>
      <c r="R876" s="19">
        <v>0</v>
      </c>
      <c r="S876" s="19">
        <f>[1]TOBEPAID!S663/1000</f>
        <v>0</v>
      </c>
      <c r="T876" s="19">
        <f>[1]TOBEPAID!T663/1000</f>
        <v>0</v>
      </c>
      <c r="U876" s="19">
        <f>[1]TOBEPAID!U663/1000</f>
        <v>0</v>
      </c>
      <c r="V876" s="19">
        <f>[1]TOBEPAID!V663/1000</f>
        <v>0</v>
      </c>
      <c r="W876" s="19">
        <f>[1]TOBEPAID!W663/1000</f>
        <v>0</v>
      </c>
      <c r="X876" s="19">
        <f>[1]TOBEPAID!X663/1000</f>
        <v>0</v>
      </c>
      <c r="Y876" s="19">
        <f>+H876+R876</f>
        <v>1185.8</v>
      </c>
      <c r="Z876" s="19">
        <f>+D876-Y876</f>
        <v>0</v>
      </c>
      <c r="AA876" s="19">
        <f>[1]TOBEPAID!AA663/1000</f>
        <v>1185.8</v>
      </c>
      <c r="AB876" s="19">
        <f>[1]TOBEPAID!AB663/1000</f>
        <v>0</v>
      </c>
      <c r="AC876" s="19"/>
      <c r="AD876" s="19"/>
      <c r="AE876" s="25" t="s">
        <v>279</v>
      </c>
      <c r="AF876" s="34">
        <f>+D807</f>
        <v>6791.2889999999998</v>
      </c>
      <c r="AG876" s="34">
        <f>+E807</f>
        <v>6791.2891600000003</v>
      </c>
      <c r="AH876" s="34">
        <f>+F807</f>
        <v>0</v>
      </c>
      <c r="AI876" s="34">
        <f t="shared" si="157"/>
        <v>6791.2891600000003</v>
      </c>
      <c r="AJ876" s="34">
        <f>+L807</f>
        <v>0</v>
      </c>
      <c r="AK876" s="34">
        <f t="shared" si="158"/>
        <v>6791.2891600000003</v>
      </c>
      <c r="AL876" s="34">
        <f>+O807</f>
        <v>0</v>
      </c>
      <c r="AM876" s="34">
        <f>+P807</f>
        <v>0</v>
      </c>
      <c r="AN876" s="34">
        <f t="shared" si="159"/>
        <v>0</v>
      </c>
      <c r="AO876" s="34">
        <f>+V807</f>
        <v>0</v>
      </c>
      <c r="AP876" s="34">
        <f t="shared" si="160"/>
        <v>0</v>
      </c>
      <c r="AQ876" s="34">
        <f t="shared" si="161"/>
        <v>6791.2891600000003</v>
      </c>
      <c r="AR876" s="34">
        <f t="shared" si="162"/>
        <v>-1.6000000050553354E-4</v>
      </c>
      <c r="AS876" s="34">
        <f>+AF879-AK879-AP879</f>
        <v>-1.4000000010128133E-4</v>
      </c>
    </row>
    <row r="877" spans="1:45" x14ac:dyDescent="0.2">
      <c r="A877" s="18"/>
      <c r="C877" s="3" t="s">
        <v>75</v>
      </c>
      <c r="D877" s="19">
        <f>2000000/1000</f>
        <v>2000</v>
      </c>
      <c r="E877" s="19"/>
      <c r="F877" s="19"/>
      <c r="G877" s="19"/>
      <c r="H877" s="19">
        <f>2000000/1000</f>
        <v>2000</v>
      </c>
      <c r="I877" s="19"/>
      <c r="J877" s="19"/>
      <c r="K877" s="19"/>
      <c r="L877" s="19"/>
      <c r="M877" s="19"/>
      <c r="N877" s="19"/>
      <c r="O877" s="19"/>
      <c r="P877" s="19"/>
      <c r="Q877" s="19"/>
      <c r="R877" s="19">
        <v>0</v>
      </c>
      <c r="S877" s="19"/>
      <c r="T877" s="19"/>
      <c r="U877" s="19"/>
      <c r="V877" s="19"/>
      <c r="W877" s="19"/>
      <c r="X877" s="19"/>
      <c r="Y877" s="19">
        <f>+H877+R877</f>
        <v>2000</v>
      </c>
      <c r="Z877" s="19">
        <f>+D877-Y877</f>
        <v>0</v>
      </c>
      <c r="AA877" s="19"/>
      <c r="AB877" s="19"/>
      <c r="AC877" s="19"/>
      <c r="AD877" s="19"/>
      <c r="AE877" s="25"/>
      <c r="AF877" s="34"/>
      <c r="AG877" s="34"/>
      <c r="AH877" s="34"/>
      <c r="AI877" s="34"/>
      <c r="AJ877" s="34"/>
      <c r="AK877" s="34"/>
      <c r="AL877" s="34"/>
      <c r="AM877" s="34"/>
      <c r="AN877" s="34"/>
      <c r="AO877" s="34"/>
      <c r="AP877" s="34"/>
      <c r="AQ877" s="34"/>
      <c r="AR877" s="34"/>
      <c r="AS877" s="34"/>
    </row>
    <row r="878" spans="1:45" x14ac:dyDescent="0.2">
      <c r="A878" s="18"/>
      <c r="C878" s="3" t="s">
        <v>259</v>
      </c>
      <c r="D878" s="19">
        <f>3000000/1000</f>
        <v>3000</v>
      </c>
      <c r="E878" s="19"/>
      <c r="F878" s="19"/>
      <c r="G878" s="19"/>
      <c r="H878" s="19">
        <f>3000000/1000</f>
        <v>3000</v>
      </c>
      <c r="I878" s="19"/>
      <c r="J878" s="19"/>
      <c r="K878" s="19"/>
      <c r="L878" s="19"/>
      <c r="M878" s="19"/>
      <c r="N878" s="19"/>
      <c r="O878" s="19"/>
      <c r="P878" s="19"/>
      <c r="Q878" s="19"/>
      <c r="R878" s="19">
        <v>0</v>
      </c>
      <c r="S878" s="19"/>
      <c r="T878" s="19"/>
      <c r="U878" s="19"/>
      <c r="V878" s="19"/>
      <c r="W878" s="19"/>
      <c r="X878" s="19"/>
      <c r="Y878" s="19">
        <f>+H878+R878</f>
        <v>3000</v>
      </c>
      <c r="Z878" s="19">
        <f>+D878-Y878</f>
        <v>0</v>
      </c>
      <c r="AA878" s="19"/>
      <c r="AB878" s="19"/>
      <c r="AC878" s="19"/>
      <c r="AD878" s="19"/>
      <c r="AE878" s="25"/>
      <c r="AF878" s="34"/>
      <c r="AG878" s="34"/>
      <c r="AH878" s="34"/>
      <c r="AI878" s="34"/>
      <c r="AJ878" s="34"/>
      <c r="AK878" s="34"/>
      <c r="AL878" s="34"/>
      <c r="AM878" s="34"/>
      <c r="AN878" s="34"/>
      <c r="AO878" s="34"/>
      <c r="AP878" s="34"/>
      <c r="AQ878" s="34"/>
      <c r="AR878" s="34"/>
      <c r="AS878" s="34"/>
    </row>
    <row r="879" spans="1:45" x14ac:dyDescent="0.2">
      <c r="A879" s="18"/>
      <c r="C879" s="3" t="s">
        <v>280</v>
      </c>
      <c r="D879" s="19">
        <f>2000000/1000</f>
        <v>2000</v>
      </c>
      <c r="E879" s="19">
        <f>[1]TOBEPAID!E664/1000</f>
        <v>2000</v>
      </c>
      <c r="F879" s="19">
        <f>[1]TOBEPAID!F664/1000</f>
        <v>0</v>
      </c>
      <c r="G879" s="19">
        <f>[1]TOBEPAID!G664/1000</f>
        <v>0</v>
      </c>
      <c r="H879" s="19">
        <f>2000000/1000</f>
        <v>2000</v>
      </c>
      <c r="I879" s="19">
        <f>[1]TOBEPAID!I664/1000</f>
        <v>0</v>
      </c>
      <c r="J879" s="19">
        <f>[1]TOBEPAID!J664/1000</f>
        <v>0</v>
      </c>
      <c r="K879" s="19">
        <f>[1]TOBEPAID!K664/1000</f>
        <v>0</v>
      </c>
      <c r="L879" s="19">
        <f>[1]TOBEPAID!L664/1000</f>
        <v>0</v>
      </c>
      <c r="M879" s="19">
        <f>[1]TOBEPAID!M664/1000</f>
        <v>0</v>
      </c>
      <c r="N879" s="19">
        <f>[1]TOBEPAID!N664/1000</f>
        <v>2000</v>
      </c>
      <c r="O879" s="19">
        <f>[1]TOBEPAID!O664/1000</f>
        <v>0</v>
      </c>
      <c r="P879" s="19">
        <f>[1]TOBEPAID!P664/1000</f>
        <v>0</v>
      </c>
      <c r="Q879" s="19">
        <f>[1]TOBEPAID!Q664/1000</f>
        <v>0</v>
      </c>
      <c r="R879" s="19">
        <v>0</v>
      </c>
      <c r="S879" s="19">
        <f>[1]TOBEPAID!S664/1000</f>
        <v>0</v>
      </c>
      <c r="T879" s="19">
        <f>[1]TOBEPAID!T664/1000</f>
        <v>0</v>
      </c>
      <c r="U879" s="19">
        <f>[1]TOBEPAID!U664/1000</f>
        <v>0</v>
      </c>
      <c r="V879" s="19">
        <f>[1]TOBEPAID!V664/1000</f>
        <v>0</v>
      </c>
      <c r="W879" s="19">
        <f>[1]TOBEPAID!W664/1000</f>
        <v>0</v>
      </c>
      <c r="X879" s="19">
        <f>[1]TOBEPAID!X664/1000</f>
        <v>0</v>
      </c>
      <c r="Y879" s="19">
        <f>+H879+R879</f>
        <v>2000</v>
      </c>
      <c r="Z879" s="19">
        <f>+D879-Y879</f>
        <v>0</v>
      </c>
      <c r="AA879" s="19">
        <f>[1]TOBEPAID!AA664/1000</f>
        <v>2000</v>
      </c>
      <c r="AB879" s="19">
        <f>[1]TOBEPAID!AB664/1000</f>
        <v>0</v>
      </c>
      <c r="AC879" s="19"/>
      <c r="AD879" s="19"/>
      <c r="AE879" s="25" t="s">
        <v>256</v>
      </c>
      <c r="AF879" s="34">
        <f>+D782+D829</f>
        <v>9903.1229999999996</v>
      </c>
      <c r="AG879" s="34">
        <f>+E782+E829</f>
        <v>0</v>
      </c>
      <c r="AH879" s="34">
        <f>+F782+F829</f>
        <v>0</v>
      </c>
      <c r="AI879" s="34">
        <f t="shared" si="157"/>
        <v>0</v>
      </c>
      <c r="AJ879" s="34">
        <f>+L782+L829</f>
        <v>0</v>
      </c>
      <c r="AK879" s="34">
        <f t="shared" si="158"/>
        <v>0</v>
      </c>
      <c r="AL879" s="34">
        <f>+O782+O829</f>
        <v>9903.1231399999997</v>
      </c>
      <c r="AM879" s="34">
        <f>+P782+P829</f>
        <v>0</v>
      </c>
      <c r="AN879" s="34">
        <f t="shared" si="159"/>
        <v>9903.1231399999997</v>
      </c>
      <c r="AO879" s="34">
        <f>+V782+V829</f>
        <v>0</v>
      </c>
      <c r="AP879" s="34">
        <f t="shared" si="160"/>
        <v>9903.1231399999997</v>
      </c>
      <c r="AQ879" s="34">
        <f t="shared" si="161"/>
        <v>9903.1231399999997</v>
      </c>
      <c r="AR879" s="34">
        <f t="shared" si="162"/>
        <v>-1.4000000010128133E-4</v>
      </c>
      <c r="AS879" s="34">
        <f t="shared" si="156"/>
        <v>-7.6999999964755261E-4</v>
      </c>
    </row>
    <row r="880" spans="1:45" x14ac:dyDescent="0.2">
      <c r="A880" s="18"/>
      <c r="D880" s="21" t="s">
        <v>57</v>
      </c>
      <c r="E880" s="21" t="s">
        <v>57</v>
      </c>
      <c r="F880" s="21" t="s">
        <v>57</v>
      </c>
      <c r="G880" s="21"/>
      <c r="H880" s="21" t="s">
        <v>57</v>
      </c>
      <c r="I880" s="21" t="s">
        <v>57</v>
      </c>
      <c r="J880" s="21" t="s">
        <v>57</v>
      </c>
      <c r="K880" s="21" t="s">
        <v>57</v>
      </c>
      <c r="L880" s="21" t="s">
        <v>57</v>
      </c>
      <c r="M880" s="21"/>
      <c r="N880" s="21" t="s">
        <v>57</v>
      </c>
      <c r="O880" s="21" t="s">
        <v>57</v>
      </c>
      <c r="P880" s="21" t="s">
        <v>57</v>
      </c>
      <c r="Q880" s="21"/>
      <c r="R880" s="21" t="s">
        <v>57</v>
      </c>
      <c r="S880" s="21" t="s">
        <v>57</v>
      </c>
      <c r="T880" s="21" t="s">
        <v>57</v>
      </c>
      <c r="U880" s="21" t="s">
        <v>57</v>
      </c>
      <c r="V880" s="21" t="s">
        <v>57</v>
      </c>
      <c r="W880" s="21"/>
      <c r="X880" s="21" t="s">
        <v>57</v>
      </c>
      <c r="Y880" s="21" t="s">
        <v>57</v>
      </c>
      <c r="Z880" s="21" t="s">
        <v>57</v>
      </c>
      <c r="AA880" s="21" t="s">
        <v>57</v>
      </c>
      <c r="AB880" s="21" t="s">
        <v>57</v>
      </c>
      <c r="AC880" s="21"/>
      <c r="AD880" s="21"/>
      <c r="AE880" s="25" t="s">
        <v>96</v>
      </c>
      <c r="AF880" s="34">
        <f>+D831</f>
        <v>5096.366</v>
      </c>
      <c r="AG880" s="34">
        <f>+E831</f>
        <v>0</v>
      </c>
      <c r="AH880" s="34">
        <f>+F831</f>
        <v>0</v>
      </c>
      <c r="AI880" s="34">
        <f t="shared" si="157"/>
        <v>0</v>
      </c>
      <c r="AJ880" s="34">
        <f>+L831</f>
        <v>0</v>
      </c>
      <c r="AK880" s="34">
        <f t="shared" si="158"/>
        <v>0</v>
      </c>
      <c r="AL880" s="34">
        <f>+O831</f>
        <v>5096.3667699999996</v>
      </c>
      <c r="AM880" s="34">
        <f>+P831</f>
        <v>0</v>
      </c>
      <c r="AN880" s="34">
        <f t="shared" si="159"/>
        <v>5096.3667699999996</v>
      </c>
      <c r="AO880" s="34">
        <f>+V831</f>
        <v>0</v>
      </c>
      <c r="AP880" s="34">
        <f t="shared" si="160"/>
        <v>5096.3667699999996</v>
      </c>
      <c r="AQ880" s="34">
        <f t="shared" si="161"/>
        <v>5096.3667699999996</v>
      </c>
      <c r="AR880" s="34">
        <f t="shared" si="162"/>
        <v>-7.6999999964755261E-4</v>
      </c>
      <c r="AS880" s="34">
        <f t="shared" si="156"/>
        <v>0</v>
      </c>
    </row>
    <row r="881" spans="1:45" x14ac:dyDescent="0.2">
      <c r="A881" s="18"/>
      <c r="D881" s="30">
        <f>SUM(D875:D879)</f>
        <v>67537.8</v>
      </c>
      <c r="E881" s="30">
        <f>SUM(E875:E879)</f>
        <v>3185.8</v>
      </c>
      <c r="F881" s="30">
        <f>SUM(F875:F879)</f>
        <v>0</v>
      </c>
      <c r="G881" s="30"/>
      <c r="H881" s="30">
        <f>SUM(H875:H879)</f>
        <v>10185.799999999999</v>
      </c>
      <c r="I881" s="30">
        <f>SUM(I875:I879)</f>
        <v>0</v>
      </c>
      <c r="J881" s="30">
        <f>SUM(J875:J879)</f>
        <v>0</v>
      </c>
      <c r="K881" s="30">
        <f>SUM(K875:K879)</f>
        <v>0</v>
      </c>
      <c r="L881" s="30">
        <f>SUM(L875:L879)</f>
        <v>0</v>
      </c>
      <c r="M881" s="30"/>
      <c r="N881" s="30">
        <f>SUM(N875:N879)</f>
        <v>3185.8</v>
      </c>
      <c r="O881" s="30">
        <f>SUM(O875:O879)</f>
        <v>0</v>
      </c>
      <c r="P881" s="30">
        <f>SUM(P875:P879)</f>
        <v>0</v>
      </c>
      <c r="Q881" s="30"/>
      <c r="R881" s="30">
        <f>SUM(R875:R879)</f>
        <v>0</v>
      </c>
      <c r="S881" s="30">
        <f>SUM(S875:S879)</f>
        <v>0</v>
      </c>
      <c r="T881" s="30">
        <f>SUM(T875:T879)</f>
        <v>0</v>
      </c>
      <c r="U881" s="30">
        <f>SUM(U875:U879)</f>
        <v>0</v>
      </c>
      <c r="V881" s="30">
        <f>SUM(V875:V879)</f>
        <v>0</v>
      </c>
      <c r="W881" s="30"/>
      <c r="X881" s="30">
        <f>SUM(X875:X879)</f>
        <v>0</v>
      </c>
      <c r="Y881" s="30">
        <f>SUM(Y875:Y879)</f>
        <v>10185.799999999999</v>
      </c>
      <c r="Z881" s="30">
        <f>SUM(Z875:Z879)</f>
        <v>57352</v>
      </c>
      <c r="AA881" s="30">
        <f>SUM(AA875:AA879)</f>
        <v>3185.8</v>
      </c>
      <c r="AB881" s="30">
        <f>SUM(AB875:AB879)</f>
        <v>61351.709689999996</v>
      </c>
      <c r="AC881" s="30"/>
      <c r="AD881" s="30"/>
      <c r="AE881" s="25" t="s">
        <v>97</v>
      </c>
      <c r="AF881" s="34">
        <f>+D771+D867</f>
        <v>0</v>
      </c>
      <c r="AG881" s="34">
        <f>+E771+E867</f>
        <v>0</v>
      </c>
      <c r="AH881" s="34">
        <f>+F771+F867</f>
        <v>0</v>
      </c>
      <c r="AI881" s="34">
        <f t="shared" si="157"/>
        <v>0</v>
      </c>
      <c r="AJ881" s="34">
        <f>+L771+L867</f>
        <v>0</v>
      </c>
      <c r="AK881" s="34">
        <f t="shared" si="158"/>
        <v>0</v>
      </c>
      <c r="AL881" s="34">
        <f>+O771+O867</f>
        <v>0</v>
      </c>
      <c r="AM881" s="34">
        <f>+P771+P867</f>
        <v>0</v>
      </c>
      <c r="AN881" s="34">
        <f t="shared" si="159"/>
        <v>0</v>
      </c>
      <c r="AO881" s="34">
        <f>+V771+V867</f>
        <v>0</v>
      </c>
      <c r="AP881" s="34">
        <f t="shared" si="160"/>
        <v>0</v>
      </c>
      <c r="AQ881" s="34">
        <f t="shared" si="161"/>
        <v>0</v>
      </c>
      <c r="AR881" s="34">
        <f t="shared" si="162"/>
        <v>0</v>
      </c>
      <c r="AS881" s="34">
        <f>SUM(AS857:AS880)</f>
        <v>4125398.9316700008</v>
      </c>
    </row>
    <row r="882" spans="1:45" x14ac:dyDescent="0.2">
      <c r="A882" s="18"/>
      <c r="D882" s="21" t="s">
        <v>57</v>
      </c>
      <c r="E882" s="21" t="s">
        <v>57</v>
      </c>
      <c r="F882" s="21" t="s">
        <v>57</v>
      </c>
      <c r="G882" s="21"/>
      <c r="H882" s="21" t="s">
        <v>57</v>
      </c>
      <c r="I882" s="21" t="s">
        <v>57</v>
      </c>
      <c r="J882" s="21" t="s">
        <v>57</v>
      </c>
      <c r="K882" s="21" t="s">
        <v>57</v>
      </c>
      <c r="L882" s="21" t="s">
        <v>57</v>
      </c>
      <c r="M882" s="21"/>
      <c r="N882" s="21" t="s">
        <v>57</v>
      </c>
      <c r="O882" s="21" t="s">
        <v>57</v>
      </c>
      <c r="P882" s="21" t="s">
        <v>57</v>
      </c>
      <c r="Q882" s="21"/>
      <c r="R882" s="21" t="s">
        <v>57</v>
      </c>
      <c r="S882" s="21" t="s">
        <v>57</v>
      </c>
      <c r="T882" s="21" t="s">
        <v>57</v>
      </c>
      <c r="U882" s="21" t="s">
        <v>57</v>
      </c>
      <c r="V882" s="21" t="s">
        <v>57</v>
      </c>
      <c r="W882" s="21"/>
      <c r="X882" s="21" t="s">
        <v>57</v>
      </c>
      <c r="Y882" s="21" t="s">
        <v>57</v>
      </c>
      <c r="Z882" s="21" t="s">
        <v>57</v>
      </c>
      <c r="AA882" s="21" t="s">
        <v>57</v>
      </c>
      <c r="AB882" s="21" t="s">
        <v>57</v>
      </c>
      <c r="AC882" s="21"/>
      <c r="AD882" s="21"/>
      <c r="AE882" s="25" t="s">
        <v>202</v>
      </c>
      <c r="AF882" s="34">
        <f t="shared" ref="AF882:AR882" si="163">SUM(AF860:AF881)</f>
        <v>4903157.1334200008</v>
      </c>
      <c r="AG882" s="34">
        <f t="shared" si="163"/>
        <v>624710.89803000004</v>
      </c>
      <c r="AH882" s="34">
        <f t="shared" si="163"/>
        <v>102000</v>
      </c>
      <c r="AI882" s="34">
        <f t="shared" si="163"/>
        <v>726710.89803000004</v>
      </c>
      <c r="AJ882" s="34">
        <f t="shared" si="163"/>
        <v>0</v>
      </c>
      <c r="AK882" s="34">
        <f t="shared" si="163"/>
        <v>726710.89803000004</v>
      </c>
      <c r="AL882" s="34">
        <f t="shared" si="163"/>
        <v>51047.303720000004</v>
      </c>
      <c r="AM882" s="34">
        <f t="shared" si="163"/>
        <v>0</v>
      </c>
      <c r="AN882" s="34">
        <f t="shared" si="163"/>
        <v>51047.303720000004</v>
      </c>
      <c r="AO882" s="34">
        <f t="shared" si="163"/>
        <v>0</v>
      </c>
      <c r="AP882" s="34">
        <f t="shared" si="163"/>
        <v>51047.303720000004</v>
      </c>
      <c r="AQ882" s="34">
        <f t="shared" si="163"/>
        <v>777758.20175000001</v>
      </c>
      <c r="AR882" s="34">
        <f t="shared" si="163"/>
        <v>4125398.9316700008</v>
      </c>
    </row>
    <row r="883" spans="1:45" x14ac:dyDescent="0.2">
      <c r="A883" s="18"/>
      <c r="B883" s="41" t="s">
        <v>121</v>
      </c>
      <c r="C883" s="41" t="s">
        <v>257</v>
      </c>
      <c r="D883" s="30">
        <f>D775+D784+D798+D809+D820+D833+D847+D856+D871+D881</f>
        <v>5506767.5822299998</v>
      </c>
      <c r="E883" s="30">
        <f>E775+E784+E798+E809+E820+E833+E847+E856+E871+E881</f>
        <v>624710.89803000004</v>
      </c>
      <c r="F883" s="30">
        <f>F775+F784+F798+F809+F820+F833+F847+F856+F871+F881</f>
        <v>102000</v>
      </c>
      <c r="G883" s="30"/>
      <c r="H883" s="30">
        <f>H775+H784+H798+H809+H820+H833+H847+H856+H871+H881</f>
        <v>5198983.8485999992</v>
      </c>
      <c r="I883" s="30">
        <f>I775+I784+I798+I809+I820+I833+I847+I856+I871+I881</f>
        <v>0</v>
      </c>
      <c r="J883" s="30">
        <f>J775+J784+J798+J809+J820+J833+J847+J856+J871+J881</f>
        <v>0</v>
      </c>
      <c r="K883" s="30">
        <f>K775+K784+K798+K809+K820+K833+K847+K856+K871+K881</f>
        <v>0</v>
      </c>
      <c r="L883" s="30">
        <f>L775+L784+L798+L809+L820+L833+L847+L856+L871+L881</f>
        <v>0</v>
      </c>
      <c r="M883" s="30"/>
      <c r="N883" s="30">
        <f>N775+N784+N798+N809+N820+N833+N847+N856+N871+N881</f>
        <v>781710.89786999999</v>
      </c>
      <c r="O883" s="30">
        <f>O775+O784+O798+O809+O820+O833+O847+O856+O871+O881</f>
        <v>51047.303720000004</v>
      </c>
      <c r="P883" s="30">
        <f>P775+P784+P798+P809+P820+P833+P847+P856+P871+P881</f>
        <v>0</v>
      </c>
      <c r="Q883" s="30"/>
      <c r="R883" s="30">
        <f>R775+R784+R798+R809+R820+R833+R847+R856+R871+R881</f>
        <v>52859.038740000004</v>
      </c>
      <c r="S883" s="30">
        <f>S775+S784+S798+S809+S820+S833+S847+S856+S871+S881</f>
        <v>0</v>
      </c>
      <c r="T883" s="30">
        <f>T775+T784+T798+T809+T820+T833+T847+T856+T871+T881</f>
        <v>0</v>
      </c>
      <c r="U883" s="30">
        <f>U775+U784+U798+U809+U820+U833+U847+U856+U871+U881</f>
        <v>0</v>
      </c>
      <c r="V883" s="30">
        <f>V775+V784+V798+V809+V820+V833+V847+V856+V871+V881</f>
        <v>0</v>
      </c>
      <c r="W883" s="30"/>
      <c r="X883" s="30">
        <f>X775+X784+X798+X809+X820+X833+X847+X856+X871+X881</f>
        <v>51046.551520000001</v>
      </c>
      <c r="Y883" s="30">
        <f>Y775+Y784+Y798+Y809+Y820+Y833+Y847+Y856+Y871+Y881</f>
        <v>5251842.8873399999</v>
      </c>
      <c r="Z883" s="30">
        <f>Z775+Z784+Z798+Z809+Z820+Z833+Z847+Z856+Z871+Z881</f>
        <v>254924.69670999999</v>
      </c>
      <c r="AA883" s="30">
        <f>AA775+AA784+AA798+AA809+AA820+AA833+AA847+AA856+AA871+AA881</f>
        <v>832757.44938999997</v>
      </c>
      <c r="AB883" s="30">
        <f>AB775+AB784+AB798+AB809+AB820+AB833+AB847+AB856+AB871+AB881</f>
        <v>453303.51119999995</v>
      </c>
      <c r="AC883" s="30"/>
      <c r="AD883" s="30"/>
      <c r="AS883" s="34"/>
    </row>
    <row r="884" spans="1:45" x14ac:dyDescent="0.2">
      <c r="A884" s="18"/>
      <c r="D884" s="21" t="s">
        <v>93</v>
      </c>
      <c r="E884" s="21" t="s">
        <v>93</v>
      </c>
      <c r="F884" s="21" t="s">
        <v>93</v>
      </c>
      <c r="G884" s="21"/>
      <c r="H884" s="21" t="s">
        <v>93</v>
      </c>
      <c r="I884" s="21" t="s">
        <v>93</v>
      </c>
      <c r="J884" s="21" t="s">
        <v>93</v>
      </c>
      <c r="K884" s="21" t="s">
        <v>93</v>
      </c>
      <c r="L884" s="21" t="s">
        <v>93</v>
      </c>
      <c r="M884" s="21"/>
      <c r="N884" s="21" t="s">
        <v>93</v>
      </c>
      <c r="O884" s="21" t="s">
        <v>93</v>
      </c>
      <c r="P884" s="21" t="s">
        <v>93</v>
      </c>
      <c r="Q884" s="21"/>
      <c r="R884" s="21" t="s">
        <v>93</v>
      </c>
      <c r="S884" s="21" t="s">
        <v>93</v>
      </c>
      <c r="T884" s="21" t="s">
        <v>93</v>
      </c>
      <c r="U884" s="21" t="s">
        <v>93</v>
      </c>
      <c r="V884" s="21" t="s">
        <v>93</v>
      </c>
      <c r="W884" s="21"/>
      <c r="X884" s="21" t="s">
        <v>93</v>
      </c>
      <c r="Y884" s="21" t="s">
        <v>93</v>
      </c>
      <c r="Z884" s="21" t="s">
        <v>93</v>
      </c>
      <c r="AA884" s="21" t="s">
        <v>93</v>
      </c>
      <c r="AB884" s="21" t="s">
        <v>93</v>
      </c>
      <c r="AC884" s="21"/>
      <c r="AD884" s="21"/>
      <c r="AR884" s="34"/>
    </row>
    <row r="885" spans="1:45" x14ac:dyDescent="0.2">
      <c r="A885" s="18"/>
      <c r="C885" s="25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</row>
    <row r="886" spans="1:45" x14ac:dyDescent="0.2">
      <c r="A886" s="18"/>
      <c r="B886" s="17" t="s">
        <v>281</v>
      </c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</row>
    <row r="887" spans="1:45" x14ac:dyDescent="0.2">
      <c r="A887" s="18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</row>
    <row r="888" spans="1:45" x14ac:dyDescent="0.2">
      <c r="A888" s="18">
        <v>66</v>
      </c>
      <c r="B888" s="17" t="s">
        <v>282</v>
      </c>
      <c r="C888" s="17" t="s">
        <v>51</v>
      </c>
      <c r="D888" s="19">
        <f>43827504/1000</f>
        <v>43827.504000000001</v>
      </c>
      <c r="E888" s="19">
        <f>[1]TOBEPAID!E673/1000</f>
        <v>0</v>
      </c>
      <c r="F888" s="19">
        <f>[1]TOBEPAID!F673/1000</f>
        <v>0</v>
      </c>
      <c r="G888" s="19">
        <f>[1]TOBEPAID!G673/1000</f>
        <v>0</v>
      </c>
      <c r="H888" s="19">
        <f>43641818/1000</f>
        <v>43641.817999999999</v>
      </c>
      <c r="I888" s="19">
        <f>[1]TOBEPAID!I673/1000</f>
        <v>0</v>
      </c>
      <c r="J888" s="19">
        <f>[1]TOBEPAID!J673/1000</f>
        <v>0</v>
      </c>
      <c r="K888" s="19">
        <f>[1]TOBEPAID!K673/1000</f>
        <v>0</v>
      </c>
      <c r="L888" s="19">
        <f>[1]TOBEPAID!L673/1000</f>
        <v>0</v>
      </c>
      <c r="M888" s="19">
        <f>[1]TOBEPAID!M673/1000</f>
        <v>0</v>
      </c>
      <c r="N888" s="19">
        <f>[1]TOBEPAID!N673/1000</f>
        <v>0</v>
      </c>
      <c r="O888" s="19">
        <f>[1]TOBEPAID!O673/1000</f>
        <v>3633.08284</v>
      </c>
      <c r="P888" s="19">
        <f>[1]TOBEPAID!P673/1000</f>
        <v>0</v>
      </c>
      <c r="Q888" s="19">
        <f>[1]TOBEPAID!Q673/1000</f>
        <v>0</v>
      </c>
      <c r="R888" s="19">
        <v>0</v>
      </c>
      <c r="S888" s="19">
        <f>[1]TOBEPAID!S673/1000</f>
        <v>0</v>
      </c>
      <c r="T888" s="19">
        <f>[1]TOBEPAID!T673/1000</f>
        <v>0</v>
      </c>
      <c r="U888" s="19">
        <f>[1]TOBEPAID!U673/1000</f>
        <v>0</v>
      </c>
      <c r="V888" s="19">
        <f>[1]TOBEPAID!V673/1000</f>
        <v>0</v>
      </c>
      <c r="W888" s="19">
        <f>[1]TOBEPAID!W673/1000</f>
        <v>0</v>
      </c>
      <c r="X888" s="19">
        <f>[1]TOBEPAID!X673/1000</f>
        <v>3633.08284</v>
      </c>
      <c r="Y888" s="19">
        <f>+H888+R888</f>
        <v>43641.817999999999</v>
      </c>
      <c r="Z888" s="19">
        <f>+D888-Y888</f>
        <v>185.68600000000151</v>
      </c>
      <c r="AA888" s="19">
        <f>[1]TOBEPAID!AA673/1000</f>
        <v>3633.08284</v>
      </c>
      <c r="AB888" s="19">
        <f>[1]TOBEPAID!AB673/1000</f>
        <v>20194.421249999999</v>
      </c>
      <c r="AC888" s="19"/>
      <c r="AD888" s="19"/>
    </row>
    <row r="889" spans="1:45" x14ac:dyDescent="0.2">
      <c r="A889" s="18"/>
      <c r="B889" s="17"/>
      <c r="C889" s="17" t="s">
        <v>74</v>
      </c>
      <c r="D889" s="19">
        <f>118270000/1000</f>
        <v>118270</v>
      </c>
      <c r="E889" s="19"/>
      <c r="F889" s="19"/>
      <c r="G889" s="19"/>
      <c r="H889" s="19">
        <v>0</v>
      </c>
      <c r="I889" s="19"/>
      <c r="J889" s="19"/>
      <c r="K889" s="19"/>
      <c r="L889" s="19"/>
      <c r="M889" s="19"/>
      <c r="N889" s="19"/>
      <c r="O889" s="19"/>
      <c r="P889" s="19"/>
      <c r="Q889" s="19"/>
      <c r="R889" s="19">
        <v>0</v>
      </c>
      <c r="S889" s="19"/>
      <c r="T889" s="19"/>
      <c r="U889" s="19"/>
      <c r="V889" s="19"/>
      <c r="W889" s="19"/>
      <c r="X889" s="19"/>
      <c r="Y889" s="19">
        <f>+H889+R889</f>
        <v>0</v>
      </c>
      <c r="Z889" s="19">
        <f>+D889-Y889</f>
        <v>118270</v>
      </c>
      <c r="AA889" s="19"/>
      <c r="AB889" s="19"/>
      <c r="AC889" s="19"/>
      <c r="AD889" s="19"/>
    </row>
    <row r="890" spans="1:45" x14ac:dyDescent="0.2">
      <c r="A890" s="18"/>
      <c r="B890" s="17"/>
      <c r="C890" s="3" t="s">
        <v>161</v>
      </c>
      <c r="D890" s="19">
        <f>6713000.55/1000</f>
        <v>6713.0005499999997</v>
      </c>
      <c r="E890" s="19"/>
      <c r="F890" s="19"/>
      <c r="G890" s="19"/>
      <c r="H890" s="19">
        <f>6713000/1000</f>
        <v>6713</v>
      </c>
      <c r="I890" s="19"/>
      <c r="J890" s="19"/>
      <c r="K890" s="19"/>
      <c r="L890" s="19"/>
      <c r="M890" s="19"/>
      <c r="N890" s="19"/>
      <c r="O890" s="19"/>
      <c r="P890" s="19"/>
      <c r="Q890" s="19"/>
      <c r="R890" s="19">
        <v>0</v>
      </c>
      <c r="S890" s="19"/>
      <c r="T890" s="19"/>
      <c r="U890" s="19"/>
      <c r="V890" s="19"/>
      <c r="W890" s="19"/>
      <c r="X890" s="19"/>
      <c r="Y890" s="19">
        <f>+H890+R890</f>
        <v>6713</v>
      </c>
      <c r="Z890" s="19">
        <f>+D890-Y890</f>
        <v>5.4999999974825187E-4</v>
      </c>
      <c r="AA890" s="19"/>
      <c r="AB890" s="19"/>
      <c r="AC890" s="19"/>
      <c r="AD890" s="19"/>
    </row>
    <row r="891" spans="1:45" x14ac:dyDescent="0.2">
      <c r="A891" s="18"/>
      <c r="C891" s="17" t="s">
        <v>54</v>
      </c>
      <c r="D891" s="19">
        <f>813905/1000</f>
        <v>813.90499999999997</v>
      </c>
      <c r="E891" s="19">
        <f>[1]TOBEPAID!E674/1000</f>
        <v>0</v>
      </c>
      <c r="F891" s="19">
        <f>[1]TOBEPAID!F674/1000</f>
        <v>0</v>
      </c>
      <c r="G891" s="19">
        <f>[1]TOBEPAID!G674/1000</f>
        <v>0</v>
      </c>
      <c r="H891" s="19">
        <v>0</v>
      </c>
      <c r="I891" s="19">
        <f>[1]TOBEPAID!I674/1000</f>
        <v>0</v>
      </c>
      <c r="J891" s="19">
        <f>[1]TOBEPAID!J674/1000</f>
        <v>0</v>
      </c>
      <c r="K891" s="19">
        <f>[1]TOBEPAID!K674/1000</f>
        <v>0</v>
      </c>
      <c r="L891" s="19">
        <f>[1]TOBEPAID!L674/1000</f>
        <v>0</v>
      </c>
      <c r="M891" s="19">
        <f>[1]TOBEPAID!M674/1000</f>
        <v>0</v>
      </c>
      <c r="N891" s="19">
        <f>[1]TOBEPAID!N674/1000</f>
        <v>0</v>
      </c>
      <c r="O891" s="19">
        <f>[1]TOBEPAID!O674/1000</f>
        <v>0</v>
      </c>
      <c r="P891" s="19">
        <f>[1]TOBEPAID!P674/1000</f>
        <v>0</v>
      </c>
      <c r="Q891" s="19">
        <f>[1]TOBEPAID!Q674/1000</f>
        <v>0</v>
      </c>
      <c r="R891" s="19">
        <v>0</v>
      </c>
      <c r="S891" s="19">
        <f>[1]TOBEPAID!S674/1000</f>
        <v>0</v>
      </c>
      <c r="T891" s="19">
        <f>[1]TOBEPAID!T674/1000</f>
        <v>0</v>
      </c>
      <c r="U891" s="19">
        <f>[1]TOBEPAID!U674/1000</f>
        <v>0</v>
      </c>
      <c r="V891" s="19">
        <f>[1]TOBEPAID!V674/1000</f>
        <v>0</v>
      </c>
      <c r="W891" s="19">
        <f>[1]TOBEPAID!W674/1000</f>
        <v>0</v>
      </c>
      <c r="X891" s="19">
        <f>[1]TOBEPAID!X674/1000</f>
        <v>0</v>
      </c>
      <c r="Y891" s="19">
        <f>+H891+R891</f>
        <v>0</v>
      </c>
      <c r="Z891" s="19">
        <f>+D891-Y891</f>
        <v>813.90499999999997</v>
      </c>
      <c r="AA891" s="19">
        <f>[1]TOBEPAID!AA674/1000</f>
        <v>0</v>
      </c>
      <c r="AB891" s="19">
        <f>[1]TOBEPAID!AB674/1000</f>
        <v>813.90518999999995</v>
      </c>
      <c r="AC891" s="19"/>
      <c r="AD891" s="19"/>
    </row>
    <row r="892" spans="1:45" x14ac:dyDescent="0.2">
      <c r="A892" s="18"/>
      <c r="C892" s="17" t="s">
        <v>55</v>
      </c>
      <c r="D892" s="19">
        <f>3400000/1000</f>
        <v>3400</v>
      </c>
      <c r="E892" s="19">
        <f>[1]TOBEPAID!E675/1000</f>
        <v>0</v>
      </c>
      <c r="F892" s="19">
        <f>[1]TOBEPAID!F675/1000</f>
        <v>0</v>
      </c>
      <c r="G892" s="19">
        <f>[1]TOBEPAID!G675/1000</f>
        <v>0</v>
      </c>
      <c r="H892" s="19">
        <v>0</v>
      </c>
      <c r="I892" s="19">
        <f>[1]TOBEPAID!I675/1000</f>
        <v>0</v>
      </c>
      <c r="J892" s="19">
        <f>[1]TOBEPAID!J675/1000</f>
        <v>0</v>
      </c>
      <c r="K892" s="19">
        <f>[1]TOBEPAID!K675/1000</f>
        <v>0</v>
      </c>
      <c r="L892" s="19">
        <f>[1]TOBEPAID!L675/1000</f>
        <v>0</v>
      </c>
      <c r="M892" s="19">
        <f>[1]TOBEPAID!M675/1000</f>
        <v>0</v>
      </c>
      <c r="N892" s="19">
        <f>[1]TOBEPAID!N675/1000</f>
        <v>0</v>
      </c>
      <c r="O892" s="19">
        <f>[1]TOBEPAID!O675/1000</f>
        <v>0</v>
      </c>
      <c r="P892" s="19">
        <f>[1]TOBEPAID!P675/1000</f>
        <v>0</v>
      </c>
      <c r="Q892" s="19">
        <f>[1]TOBEPAID!Q675/1000</f>
        <v>0</v>
      </c>
      <c r="R892" s="19">
        <v>0</v>
      </c>
      <c r="S892" s="19">
        <f>[1]TOBEPAID!S675/1000</f>
        <v>0</v>
      </c>
      <c r="T892" s="19">
        <f>[1]TOBEPAID!T675/1000</f>
        <v>0</v>
      </c>
      <c r="U892" s="19">
        <f>[1]TOBEPAID!U675/1000</f>
        <v>0</v>
      </c>
      <c r="V892" s="19">
        <f>[1]TOBEPAID!V675/1000</f>
        <v>0</v>
      </c>
      <c r="W892" s="19">
        <f>[1]TOBEPAID!W675/1000</f>
        <v>0</v>
      </c>
      <c r="X892" s="19">
        <f>[1]TOBEPAID!X675/1000</f>
        <v>0</v>
      </c>
      <c r="Y892" s="19">
        <f>+H892+R892</f>
        <v>0</v>
      </c>
      <c r="Z892" s="19">
        <f>+D892-Y892</f>
        <v>3400</v>
      </c>
      <c r="AA892" s="19">
        <f>[1]TOBEPAID!AA675/1000</f>
        <v>0</v>
      </c>
      <c r="AB892" s="19">
        <f>[1]TOBEPAID!AB675/1000</f>
        <v>3400</v>
      </c>
      <c r="AC892" s="19"/>
      <c r="AD892" s="19"/>
    </row>
    <row r="893" spans="1:45" x14ac:dyDescent="0.2">
      <c r="A893" s="18"/>
      <c r="D893" s="21" t="s">
        <v>57</v>
      </c>
      <c r="E893" s="21" t="s">
        <v>57</v>
      </c>
      <c r="F893" s="21" t="s">
        <v>57</v>
      </c>
      <c r="G893" s="21"/>
      <c r="H893" s="21" t="s">
        <v>57</v>
      </c>
      <c r="I893" s="21" t="s">
        <v>57</v>
      </c>
      <c r="J893" s="21" t="s">
        <v>57</v>
      </c>
      <c r="K893" s="21" t="s">
        <v>57</v>
      </c>
      <c r="L893" s="21" t="s">
        <v>57</v>
      </c>
      <c r="M893" s="21"/>
      <c r="N893" s="21" t="s">
        <v>57</v>
      </c>
      <c r="O893" s="21" t="s">
        <v>57</v>
      </c>
      <c r="P893" s="21" t="s">
        <v>57</v>
      </c>
      <c r="Q893" s="21"/>
      <c r="R893" s="21" t="s">
        <v>57</v>
      </c>
      <c r="S893" s="21" t="s">
        <v>57</v>
      </c>
      <c r="T893" s="21" t="s">
        <v>57</v>
      </c>
      <c r="U893" s="21" t="s">
        <v>57</v>
      </c>
      <c r="V893" s="21" t="s">
        <v>57</v>
      </c>
      <c r="W893" s="21"/>
      <c r="X893" s="21" t="s">
        <v>57</v>
      </c>
      <c r="Y893" s="21" t="s">
        <v>57</v>
      </c>
      <c r="Z893" s="21" t="s">
        <v>57</v>
      </c>
      <c r="AA893" s="21" t="s">
        <v>57</v>
      </c>
      <c r="AB893" s="21" t="s">
        <v>57</v>
      </c>
      <c r="AC893" s="21"/>
      <c r="AD893" s="21"/>
    </row>
    <row r="894" spans="1:45" x14ac:dyDescent="0.2">
      <c r="A894" s="18"/>
      <c r="D894" s="19">
        <f>SUM(D888:D892)</f>
        <v>173024.40955000001</v>
      </c>
      <c r="E894" s="19">
        <f>SUM(E888:E892)</f>
        <v>0</v>
      </c>
      <c r="F894" s="19">
        <f>SUM(F888:F892)</f>
        <v>0</v>
      </c>
      <c r="G894" s="19"/>
      <c r="H894" s="19">
        <f>SUM(H888:H892)</f>
        <v>50354.817999999999</v>
      </c>
      <c r="I894" s="19">
        <f>SUM(I888:I892)</f>
        <v>0</v>
      </c>
      <c r="J894" s="19">
        <f>SUM(J888:J892)</f>
        <v>0</v>
      </c>
      <c r="K894" s="19">
        <f>SUM(K888:K892)</f>
        <v>0</v>
      </c>
      <c r="L894" s="19">
        <f>SUM(L888:L892)</f>
        <v>0</v>
      </c>
      <c r="M894" s="19"/>
      <c r="N894" s="19">
        <f>SUM(N888:N892)</f>
        <v>0</v>
      </c>
      <c r="O894" s="19">
        <f>SUM(O888:O892)</f>
        <v>3633.08284</v>
      </c>
      <c r="P894" s="19">
        <f>SUM(P888:P892)</f>
        <v>0</v>
      </c>
      <c r="Q894" s="19"/>
      <c r="R894" s="19">
        <f>SUM(R888:R892)</f>
        <v>0</v>
      </c>
      <c r="S894" s="19">
        <f>SUM(S888:S892)</f>
        <v>0</v>
      </c>
      <c r="T894" s="19">
        <f>SUM(T888:T892)</f>
        <v>0</v>
      </c>
      <c r="U894" s="19">
        <f>SUM(U888:U892)</f>
        <v>0</v>
      </c>
      <c r="V894" s="19">
        <f>SUM(V888:V892)</f>
        <v>0</v>
      </c>
      <c r="W894" s="19"/>
      <c r="X894" s="19">
        <f>SUM(X888:X892)</f>
        <v>3633.08284</v>
      </c>
      <c r="Y894" s="19">
        <f>SUM(Y888:Y892)</f>
        <v>50354.817999999999</v>
      </c>
      <c r="Z894" s="19">
        <f>SUM(Z888:Z892)</f>
        <v>122669.59155</v>
      </c>
      <c r="AA894" s="19">
        <f>SUM(AA888:AA892)</f>
        <v>3633.08284</v>
      </c>
      <c r="AB894" s="19">
        <f>SUM(AB888:AB892)</f>
        <v>24408.326440000001</v>
      </c>
      <c r="AC894" s="19"/>
      <c r="AD894" s="19"/>
    </row>
    <row r="895" spans="1:45" x14ac:dyDescent="0.2">
      <c r="A895" s="18"/>
      <c r="D895" s="21" t="s">
        <v>57</v>
      </c>
      <c r="E895" s="21" t="s">
        <v>57</v>
      </c>
      <c r="F895" s="21" t="s">
        <v>57</v>
      </c>
      <c r="G895" s="21"/>
      <c r="H895" s="21" t="s">
        <v>57</v>
      </c>
      <c r="I895" s="21" t="s">
        <v>57</v>
      </c>
      <c r="J895" s="21" t="s">
        <v>57</v>
      </c>
      <c r="K895" s="21" t="s">
        <v>57</v>
      </c>
      <c r="L895" s="21" t="s">
        <v>57</v>
      </c>
      <c r="M895" s="21"/>
      <c r="N895" s="21" t="s">
        <v>57</v>
      </c>
      <c r="O895" s="21" t="s">
        <v>57</v>
      </c>
      <c r="P895" s="21" t="s">
        <v>57</v>
      </c>
      <c r="Q895" s="21"/>
      <c r="R895" s="21" t="s">
        <v>57</v>
      </c>
      <c r="S895" s="21" t="s">
        <v>57</v>
      </c>
      <c r="T895" s="21" t="s">
        <v>57</v>
      </c>
      <c r="U895" s="21" t="s">
        <v>57</v>
      </c>
      <c r="V895" s="21" t="s">
        <v>57</v>
      </c>
      <c r="W895" s="21"/>
      <c r="X895" s="21" t="s">
        <v>57</v>
      </c>
      <c r="Y895" s="21" t="s">
        <v>57</v>
      </c>
      <c r="Z895" s="21" t="s">
        <v>57</v>
      </c>
      <c r="AA895" s="21" t="s">
        <v>57</v>
      </c>
      <c r="AB895" s="21" t="s">
        <v>57</v>
      </c>
      <c r="AC895" s="21"/>
      <c r="AD895" s="21"/>
    </row>
    <row r="896" spans="1:45" x14ac:dyDescent="0.2">
      <c r="A896" s="18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1:30" x14ac:dyDescent="0.2">
      <c r="A897" s="18">
        <v>67</v>
      </c>
      <c r="B897" s="17" t="s">
        <v>283</v>
      </c>
      <c r="C897" s="17" t="s">
        <v>51</v>
      </c>
      <c r="D897" s="19">
        <f>1631194/1000</f>
        <v>1631.194</v>
      </c>
      <c r="E897" s="19">
        <f>[1]TOBEPAID!E680/1000</f>
        <v>0</v>
      </c>
      <c r="F897" s="19">
        <f>[1]TOBEPAID!F680/1000</f>
        <v>0</v>
      </c>
      <c r="G897" s="19">
        <f>[1]TOBEPAID!G680/1000</f>
        <v>0</v>
      </c>
      <c r="H897" s="19">
        <v>0</v>
      </c>
      <c r="I897" s="19">
        <f>[1]TOBEPAID!I680/1000</f>
        <v>0</v>
      </c>
      <c r="J897" s="19">
        <f>[1]TOBEPAID!J680/1000</f>
        <v>0</v>
      </c>
      <c r="K897" s="19">
        <f>[1]TOBEPAID!K680/1000</f>
        <v>0</v>
      </c>
      <c r="L897" s="19">
        <f>[1]TOBEPAID!L680/1000</f>
        <v>0</v>
      </c>
      <c r="M897" s="19">
        <f>[1]TOBEPAID!M680/1000</f>
        <v>0</v>
      </c>
      <c r="N897" s="19">
        <f>[1]TOBEPAID!N680/1000</f>
        <v>0</v>
      </c>
      <c r="O897" s="19">
        <f>[1]TOBEPAID!O680/1000</f>
        <v>9.7509999999999994</v>
      </c>
      <c r="P897" s="19">
        <f>[1]TOBEPAID!P680/1000</f>
        <v>0</v>
      </c>
      <c r="Q897" s="19">
        <f>[1]TOBEPAID!Q680/1000</f>
        <v>0</v>
      </c>
      <c r="R897" s="19">
        <f>1631194/1000</f>
        <v>1631.194</v>
      </c>
      <c r="S897" s="19">
        <f>[1]TOBEPAID!S680/1000</f>
        <v>0</v>
      </c>
      <c r="T897" s="19">
        <f>[1]TOBEPAID!T680/1000</f>
        <v>0</v>
      </c>
      <c r="U897" s="19">
        <f>[1]TOBEPAID!U680/1000</f>
        <v>0</v>
      </c>
      <c r="V897" s="19">
        <f>[1]TOBEPAID!V680/1000</f>
        <v>0</v>
      </c>
      <c r="W897" s="19">
        <f>[1]TOBEPAID!W680/1000</f>
        <v>0</v>
      </c>
      <c r="X897" s="19">
        <f>[1]TOBEPAID!X680/1000</f>
        <v>9.7509999999999994</v>
      </c>
      <c r="Y897" s="19">
        <f>+H897+R897</f>
        <v>1631.194</v>
      </c>
      <c r="Z897" s="19">
        <f t="shared" ref="Z897:Z903" si="164">+D897-Y897</f>
        <v>0</v>
      </c>
      <c r="AA897" s="19">
        <f>[1]TOBEPAID!AA680/1000</f>
        <v>9.7509999999999994</v>
      </c>
      <c r="AB897" s="19">
        <f>[1]TOBEPAID!AB680/1000</f>
        <v>238.68745999999999</v>
      </c>
      <c r="AC897" s="19"/>
      <c r="AD897" s="19"/>
    </row>
    <row r="898" spans="1:30" x14ac:dyDescent="0.2">
      <c r="A898" s="18"/>
      <c r="B898" s="17"/>
      <c r="C898" s="17" t="s">
        <v>180</v>
      </c>
      <c r="D898" s="19">
        <f>131352000/1000</f>
        <v>131352</v>
      </c>
      <c r="E898" s="19"/>
      <c r="F898" s="19"/>
      <c r="G898" s="19"/>
      <c r="H898" s="19">
        <f>82903265.4/1000</f>
        <v>82903.265400000004</v>
      </c>
      <c r="I898" s="19"/>
      <c r="J898" s="19"/>
      <c r="K898" s="19"/>
      <c r="L898" s="19"/>
      <c r="M898" s="19"/>
      <c r="N898" s="19"/>
      <c r="O898" s="19"/>
      <c r="P898" s="19"/>
      <c r="Q898" s="19"/>
      <c r="R898" s="19">
        <v>0</v>
      </c>
      <c r="S898" s="19"/>
      <c r="T898" s="19"/>
      <c r="U898" s="19"/>
      <c r="V898" s="19"/>
      <c r="W898" s="19"/>
      <c r="X898" s="19"/>
      <c r="Y898" s="19">
        <f t="shared" ref="Y898:Y903" si="165">+H898+R898</f>
        <v>82903.265400000004</v>
      </c>
      <c r="Z898" s="19">
        <f t="shared" si="164"/>
        <v>48448.734599999996</v>
      </c>
      <c r="AA898" s="19"/>
      <c r="AB898" s="19"/>
      <c r="AC898" s="19"/>
      <c r="AD898" s="19"/>
    </row>
    <row r="899" spans="1:30" x14ac:dyDescent="0.2">
      <c r="A899" s="18"/>
      <c r="C899" s="20" t="s">
        <v>52</v>
      </c>
      <c r="D899" s="19">
        <f>36000/1000</f>
        <v>36</v>
      </c>
      <c r="E899" s="19">
        <f>[1]TOBEPAID!E681/1000</f>
        <v>36</v>
      </c>
      <c r="F899" s="19">
        <f>[1]TOBEPAID!F681/1000</f>
        <v>0</v>
      </c>
      <c r="G899" s="19">
        <f>[1]TOBEPAID!G681/1000</f>
        <v>0</v>
      </c>
      <c r="H899" s="19">
        <f>36000/1000</f>
        <v>36</v>
      </c>
      <c r="I899" s="19">
        <f>[1]TOBEPAID!I681/1000</f>
        <v>0</v>
      </c>
      <c r="J899" s="19">
        <f>[1]TOBEPAID!J681/1000</f>
        <v>0</v>
      </c>
      <c r="K899" s="19">
        <f>[1]TOBEPAID!K681/1000</f>
        <v>0</v>
      </c>
      <c r="L899" s="19">
        <f>[1]TOBEPAID!L681/1000</f>
        <v>0</v>
      </c>
      <c r="M899" s="19">
        <f>[1]TOBEPAID!M681/1000</f>
        <v>0</v>
      </c>
      <c r="N899" s="19">
        <f>[1]TOBEPAID!N681/1000</f>
        <v>36</v>
      </c>
      <c r="O899" s="19">
        <f>[1]TOBEPAID!O681/1000</f>
        <v>0</v>
      </c>
      <c r="P899" s="19">
        <f>[1]TOBEPAID!P681/1000</f>
        <v>0</v>
      </c>
      <c r="Q899" s="19">
        <f>[1]TOBEPAID!Q681/1000</f>
        <v>0</v>
      </c>
      <c r="R899" s="19">
        <v>0</v>
      </c>
      <c r="S899" s="19">
        <f>[1]TOBEPAID!S681/1000</f>
        <v>0</v>
      </c>
      <c r="T899" s="19">
        <f>[1]TOBEPAID!T681/1000</f>
        <v>0</v>
      </c>
      <c r="U899" s="19">
        <f>[1]TOBEPAID!U681/1000</f>
        <v>0</v>
      </c>
      <c r="V899" s="19">
        <f>[1]TOBEPAID!V681/1000</f>
        <v>0</v>
      </c>
      <c r="W899" s="19">
        <f>[1]TOBEPAID!W681/1000</f>
        <v>0</v>
      </c>
      <c r="X899" s="19">
        <f>[1]TOBEPAID!X681/1000</f>
        <v>0</v>
      </c>
      <c r="Y899" s="19">
        <f t="shared" si="165"/>
        <v>36</v>
      </c>
      <c r="Z899" s="19">
        <f t="shared" si="164"/>
        <v>0</v>
      </c>
      <c r="AA899" s="19">
        <f>[1]TOBEPAID!AA681/1000</f>
        <v>36</v>
      </c>
      <c r="AB899" s="19">
        <f>[1]TOBEPAID!AB681/1000</f>
        <v>0</v>
      </c>
      <c r="AC899" s="19"/>
      <c r="AD899" s="19"/>
    </row>
    <row r="900" spans="1:30" x14ac:dyDescent="0.2">
      <c r="A900" s="18"/>
      <c r="C900" s="20" t="s">
        <v>76</v>
      </c>
      <c r="D900" s="19">
        <f>12000000/1000</f>
        <v>12000</v>
      </c>
      <c r="E900" s="19"/>
      <c r="F900" s="19"/>
      <c r="G900" s="19"/>
      <c r="H900" s="19">
        <f>12000000/1000</f>
        <v>12000</v>
      </c>
      <c r="I900" s="19"/>
      <c r="J900" s="19"/>
      <c r="K900" s="19"/>
      <c r="L900" s="19"/>
      <c r="M900" s="19"/>
      <c r="N900" s="19"/>
      <c r="O900" s="19"/>
      <c r="P900" s="19"/>
      <c r="Q900" s="19"/>
      <c r="R900" s="19">
        <v>0</v>
      </c>
      <c r="S900" s="19"/>
      <c r="T900" s="19"/>
      <c r="U900" s="19"/>
      <c r="V900" s="19"/>
      <c r="W900" s="19"/>
      <c r="X900" s="19"/>
      <c r="Y900" s="19">
        <f t="shared" si="165"/>
        <v>12000</v>
      </c>
      <c r="Z900" s="19">
        <f t="shared" si="164"/>
        <v>0</v>
      </c>
      <c r="AA900" s="19"/>
      <c r="AB900" s="19"/>
      <c r="AC900" s="19"/>
      <c r="AD900" s="19"/>
    </row>
    <row r="901" spans="1:30" x14ac:dyDescent="0.2">
      <c r="A901" s="18"/>
      <c r="C901" s="17" t="s">
        <v>200</v>
      </c>
      <c r="D901" s="19">
        <f>799083/1000</f>
        <v>799.08299999999997</v>
      </c>
      <c r="E901" s="19">
        <f>[1]TOBEPAID!E682/1000</f>
        <v>0</v>
      </c>
      <c r="F901" s="19">
        <f>[1]TOBEPAID!F682/1000</f>
        <v>0</v>
      </c>
      <c r="G901" s="19">
        <f>[1]TOBEPAID!G682/1000</f>
        <v>0</v>
      </c>
      <c r="H901" s="19">
        <v>0</v>
      </c>
      <c r="I901" s="19">
        <f>[1]TOBEPAID!I682/1000</f>
        <v>0</v>
      </c>
      <c r="J901" s="19">
        <f>[1]TOBEPAID!J682/1000</f>
        <v>0</v>
      </c>
      <c r="K901" s="19">
        <f>[1]TOBEPAID!K682/1000</f>
        <v>0</v>
      </c>
      <c r="L901" s="19">
        <f>[1]TOBEPAID!L682/1000</f>
        <v>0</v>
      </c>
      <c r="M901" s="19">
        <f>[1]TOBEPAID!M682/1000</f>
        <v>0</v>
      </c>
      <c r="N901" s="19">
        <f>[1]TOBEPAID!N682/1000</f>
        <v>0</v>
      </c>
      <c r="O901" s="19">
        <f>[1]TOBEPAID!O682/1000</f>
        <v>0</v>
      </c>
      <c r="P901" s="19">
        <f>[1]TOBEPAID!P682/1000</f>
        <v>0</v>
      </c>
      <c r="Q901" s="19">
        <f>[1]TOBEPAID!Q682/1000</f>
        <v>0</v>
      </c>
      <c r="R901" s="19">
        <v>0</v>
      </c>
      <c r="S901" s="19">
        <f>[1]TOBEPAID!S682/1000</f>
        <v>0</v>
      </c>
      <c r="T901" s="19">
        <f>[1]TOBEPAID!T682/1000</f>
        <v>0</v>
      </c>
      <c r="U901" s="19">
        <f>[1]TOBEPAID!U682/1000</f>
        <v>0</v>
      </c>
      <c r="V901" s="19">
        <f>[1]TOBEPAID!V682/1000</f>
        <v>0</v>
      </c>
      <c r="W901" s="19">
        <f>[1]TOBEPAID!W682/1000</f>
        <v>0</v>
      </c>
      <c r="X901" s="19">
        <f>[1]TOBEPAID!X682/1000</f>
        <v>0</v>
      </c>
      <c r="Y901" s="19">
        <f t="shared" si="165"/>
        <v>0</v>
      </c>
      <c r="Z901" s="19">
        <f t="shared" si="164"/>
        <v>799.08299999999997</v>
      </c>
      <c r="AA901" s="19">
        <f>[1]TOBEPAID!AA682/1000</f>
        <v>0</v>
      </c>
      <c r="AB901" s="19">
        <f>[1]TOBEPAID!AB682/1000</f>
        <v>2181.8394199999998</v>
      </c>
      <c r="AC901" s="19"/>
      <c r="AD901" s="19"/>
    </row>
    <row r="902" spans="1:30" x14ac:dyDescent="0.2">
      <c r="A902" s="18"/>
      <c r="C902" s="17" t="s">
        <v>96</v>
      </c>
      <c r="D902" s="19">
        <f>7022706/1000</f>
        <v>7022.7060000000001</v>
      </c>
      <c r="E902" s="19">
        <f>[1]TOBEPAID!E683/1000</f>
        <v>0</v>
      </c>
      <c r="F902" s="19">
        <f>[1]TOBEPAID!F683/1000</f>
        <v>0</v>
      </c>
      <c r="G902" s="19">
        <f>[1]TOBEPAID!G683/1000</f>
        <v>0</v>
      </c>
      <c r="H902" s="19">
        <v>0</v>
      </c>
      <c r="I902" s="19">
        <f>[1]TOBEPAID!I683/1000</f>
        <v>0</v>
      </c>
      <c r="J902" s="19">
        <f>[1]TOBEPAID!J683/1000</f>
        <v>0</v>
      </c>
      <c r="K902" s="19">
        <f>[1]TOBEPAID!K683/1000</f>
        <v>0</v>
      </c>
      <c r="L902" s="19">
        <f>[1]TOBEPAID!L683/1000</f>
        <v>0</v>
      </c>
      <c r="M902" s="19">
        <f>[1]TOBEPAID!M683/1000</f>
        <v>0</v>
      </c>
      <c r="N902" s="19">
        <f>[1]TOBEPAID!N683/1000</f>
        <v>0</v>
      </c>
      <c r="O902" s="19">
        <f>[1]TOBEPAID!O683/1000</f>
        <v>5011.0665899999995</v>
      </c>
      <c r="P902" s="19">
        <f>[1]TOBEPAID!P683/1000</f>
        <v>0</v>
      </c>
      <c r="Q902" s="19">
        <f>[1]TOBEPAID!Q683/1000</f>
        <v>0</v>
      </c>
      <c r="R902" s="19">
        <f>7022706/1000</f>
        <v>7022.7060000000001</v>
      </c>
      <c r="S902" s="19">
        <f>[1]TOBEPAID!S683/1000</f>
        <v>0</v>
      </c>
      <c r="T902" s="19">
        <f>[1]TOBEPAID!T683/1000</f>
        <v>0</v>
      </c>
      <c r="U902" s="19">
        <f>[1]TOBEPAID!U683/1000</f>
        <v>0</v>
      </c>
      <c r="V902" s="19">
        <f>[1]TOBEPAID!V683/1000</f>
        <v>0</v>
      </c>
      <c r="W902" s="19">
        <f>[1]TOBEPAID!W683/1000</f>
        <v>0</v>
      </c>
      <c r="X902" s="19">
        <f>[1]TOBEPAID!X683/1000</f>
        <v>5011.0665899999995</v>
      </c>
      <c r="Y902" s="19">
        <f t="shared" si="165"/>
        <v>7022.7060000000001</v>
      </c>
      <c r="Z902" s="19">
        <f t="shared" si="164"/>
        <v>0</v>
      </c>
      <c r="AA902" s="19">
        <f>[1]TOBEPAID!AA683/1000</f>
        <v>5011.0665899999995</v>
      </c>
      <c r="AB902" s="19">
        <f>[1]TOBEPAID!AB683/1000</f>
        <v>2011.6397599999998</v>
      </c>
      <c r="AC902" s="19"/>
      <c r="AD902" s="19"/>
    </row>
    <row r="903" spans="1:30" x14ac:dyDescent="0.2">
      <c r="A903" s="18"/>
      <c r="C903" s="17" t="s">
        <v>97</v>
      </c>
      <c r="D903" s="19">
        <f>11330000/1000</f>
        <v>11330</v>
      </c>
      <c r="E903" s="19">
        <f>[1]TOBEPAID!E684/1000</f>
        <v>0</v>
      </c>
      <c r="F903" s="19">
        <f>[1]TOBEPAID!F684/1000</f>
        <v>0</v>
      </c>
      <c r="G903" s="19">
        <f>[1]TOBEPAID!G684/1000</f>
        <v>0</v>
      </c>
      <c r="H903" s="19">
        <v>0</v>
      </c>
      <c r="I903" s="19">
        <f>[1]TOBEPAID!I684/1000</f>
        <v>0</v>
      </c>
      <c r="J903" s="19">
        <f>[1]TOBEPAID!J684/1000</f>
        <v>0</v>
      </c>
      <c r="K903" s="19">
        <f>[1]TOBEPAID!K684/1000</f>
        <v>0</v>
      </c>
      <c r="L903" s="19">
        <f>[1]TOBEPAID!L684/1000</f>
        <v>0</v>
      </c>
      <c r="M903" s="19">
        <f>[1]TOBEPAID!M684/1000</f>
        <v>0</v>
      </c>
      <c r="N903" s="19">
        <f>[1]TOBEPAID!N684/1000</f>
        <v>0</v>
      </c>
      <c r="O903" s="19">
        <f>[1]TOBEPAID!O684/1000</f>
        <v>5603.8962599999995</v>
      </c>
      <c r="P903" s="19">
        <f>[1]TOBEPAID!P684/1000</f>
        <v>0</v>
      </c>
      <c r="Q903" s="19">
        <f>[1]TOBEPAID!Q684/1000</f>
        <v>0</v>
      </c>
      <c r="R903" s="19">
        <f>5603896/1000</f>
        <v>5603.8959999999997</v>
      </c>
      <c r="S903" s="19">
        <f>[1]TOBEPAID!S684/1000</f>
        <v>0</v>
      </c>
      <c r="T903" s="19">
        <f>[1]TOBEPAID!T684/1000</f>
        <v>0</v>
      </c>
      <c r="U903" s="19">
        <f>[1]TOBEPAID!U684/1000</f>
        <v>0</v>
      </c>
      <c r="V903" s="19">
        <f>[1]TOBEPAID!V684/1000</f>
        <v>0</v>
      </c>
      <c r="W903" s="19">
        <f>[1]TOBEPAID!W684/1000</f>
        <v>0</v>
      </c>
      <c r="X903" s="19">
        <f>[1]TOBEPAID!X684/1000</f>
        <v>5603.8962599999995</v>
      </c>
      <c r="Y903" s="19">
        <f t="shared" si="165"/>
        <v>5603.8959999999997</v>
      </c>
      <c r="Z903" s="19">
        <f t="shared" si="164"/>
        <v>5726.1040000000003</v>
      </c>
      <c r="AA903" s="19">
        <f>[1]TOBEPAID!AA684/1000</f>
        <v>5603.8962599999995</v>
      </c>
      <c r="AB903" s="19">
        <f>[1]TOBEPAID!AB684/1000</f>
        <v>5726.1037400000005</v>
      </c>
      <c r="AC903" s="19"/>
      <c r="AD903" s="19"/>
    </row>
    <row r="904" spans="1:30" x14ac:dyDescent="0.2">
      <c r="A904" s="18"/>
      <c r="D904" s="21" t="s">
        <v>57</v>
      </c>
      <c r="E904" s="21" t="s">
        <v>57</v>
      </c>
      <c r="F904" s="21" t="s">
        <v>57</v>
      </c>
      <c r="G904" s="21"/>
      <c r="H904" s="21" t="s">
        <v>57</v>
      </c>
      <c r="I904" s="21" t="s">
        <v>57</v>
      </c>
      <c r="J904" s="21" t="s">
        <v>57</v>
      </c>
      <c r="K904" s="21" t="s">
        <v>57</v>
      </c>
      <c r="L904" s="21" t="s">
        <v>57</v>
      </c>
      <c r="M904" s="21"/>
      <c r="N904" s="21" t="s">
        <v>57</v>
      </c>
      <c r="O904" s="21" t="s">
        <v>57</v>
      </c>
      <c r="P904" s="21" t="s">
        <v>57</v>
      </c>
      <c r="Q904" s="21"/>
      <c r="R904" s="21" t="s">
        <v>57</v>
      </c>
      <c r="S904" s="21" t="s">
        <v>57</v>
      </c>
      <c r="T904" s="21" t="s">
        <v>57</v>
      </c>
      <c r="U904" s="21" t="s">
        <v>57</v>
      </c>
      <c r="V904" s="21" t="s">
        <v>57</v>
      </c>
      <c r="W904" s="21"/>
      <c r="X904" s="21" t="s">
        <v>57</v>
      </c>
      <c r="Y904" s="21" t="s">
        <v>57</v>
      </c>
      <c r="Z904" s="21" t="s">
        <v>57</v>
      </c>
      <c r="AA904" s="21" t="s">
        <v>57</v>
      </c>
      <c r="AB904" s="21" t="s">
        <v>57</v>
      </c>
      <c r="AC904" s="21"/>
      <c r="AD904" s="21"/>
    </row>
    <row r="905" spans="1:30" x14ac:dyDescent="0.2">
      <c r="A905" s="18"/>
      <c r="D905" s="19">
        <f>SUM(D897:D903)</f>
        <v>164170.98300000001</v>
      </c>
      <c r="E905" s="19">
        <f>SUM(E897:E903)</f>
        <v>36</v>
      </c>
      <c r="F905" s="19">
        <f>SUM(F897:F903)</f>
        <v>0</v>
      </c>
      <c r="G905" s="19"/>
      <c r="H905" s="19">
        <f>SUM(H897:H903)</f>
        <v>94939.265400000004</v>
      </c>
      <c r="I905" s="19">
        <f>SUM(I897:I903)</f>
        <v>0</v>
      </c>
      <c r="J905" s="19">
        <f>SUM(J897:J903)</f>
        <v>0</v>
      </c>
      <c r="K905" s="19">
        <f>SUM(K897:K903)</f>
        <v>0</v>
      </c>
      <c r="L905" s="19">
        <f>SUM(L897:L903)</f>
        <v>0</v>
      </c>
      <c r="M905" s="19"/>
      <c r="N905" s="19">
        <f>SUM(N897:N903)</f>
        <v>36</v>
      </c>
      <c r="O905" s="19">
        <f>SUM(O897:O903)</f>
        <v>10624.71385</v>
      </c>
      <c r="P905" s="19">
        <f>SUM(P897:P903)</f>
        <v>0</v>
      </c>
      <c r="Q905" s="19"/>
      <c r="R905" s="19">
        <f>SUM(R897:R903)</f>
        <v>14257.795999999998</v>
      </c>
      <c r="S905" s="19">
        <f>SUM(S897:S903)</f>
        <v>0</v>
      </c>
      <c r="T905" s="19">
        <f>SUM(T897:T903)</f>
        <v>0</v>
      </c>
      <c r="U905" s="19">
        <f>SUM(U897:U903)</f>
        <v>0</v>
      </c>
      <c r="V905" s="19">
        <f>SUM(V897:V903)</f>
        <v>0</v>
      </c>
      <c r="W905" s="19"/>
      <c r="X905" s="19">
        <f>SUM(X897:X903)</f>
        <v>10624.71385</v>
      </c>
      <c r="Y905" s="19">
        <f>SUM(Y897:Y903)</f>
        <v>109197.06140000001</v>
      </c>
      <c r="Z905" s="19">
        <f>SUM(Z897:Z903)</f>
        <v>54973.921599999994</v>
      </c>
      <c r="AA905" s="19">
        <f>SUM(AA897:AA903)</f>
        <v>10660.71385</v>
      </c>
      <c r="AB905" s="19">
        <f>SUM(AB897:AB903)</f>
        <v>10158.27038</v>
      </c>
      <c r="AC905" s="19"/>
      <c r="AD905" s="19"/>
    </row>
    <row r="906" spans="1:30" x14ac:dyDescent="0.2">
      <c r="A906" s="18"/>
      <c r="D906" s="21" t="s">
        <v>57</v>
      </c>
      <c r="E906" s="21" t="s">
        <v>57</v>
      </c>
      <c r="F906" s="21" t="s">
        <v>57</v>
      </c>
      <c r="G906" s="21"/>
      <c r="H906" s="21" t="s">
        <v>57</v>
      </c>
      <c r="I906" s="21" t="s">
        <v>57</v>
      </c>
      <c r="J906" s="21" t="s">
        <v>57</v>
      </c>
      <c r="K906" s="21" t="s">
        <v>57</v>
      </c>
      <c r="L906" s="21" t="s">
        <v>57</v>
      </c>
      <c r="M906" s="21"/>
      <c r="N906" s="21" t="s">
        <v>57</v>
      </c>
      <c r="O906" s="21" t="s">
        <v>57</v>
      </c>
      <c r="P906" s="21" t="s">
        <v>57</v>
      </c>
      <c r="Q906" s="21"/>
      <c r="R906" s="21" t="s">
        <v>57</v>
      </c>
      <c r="S906" s="21" t="s">
        <v>57</v>
      </c>
      <c r="T906" s="21" t="s">
        <v>57</v>
      </c>
      <c r="U906" s="21" t="s">
        <v>57</v>
      </c>
      <c r="V906" s="21" t="s">
        <v>57</v>
      </c>
      <c r="W906" s="21"/>
      <c r="X906" s="21" t="s">
        <v>57</v>
      </c>
      <c r="Y906" s="21" t="s">
        <v>57</v>
      </c>
      <c r="Z906" s="21" t="s">
        <v>57</v>
      </c>
      <c r="AA906" s="21" t="s">
        <v>57</v>
      </c>
      <c r="AB906" s="21" t="s">
        <v>57</v>
      </c>
      <c r="AC906" s="21"/>
      <c r="AD906" s="21"/>
    </row>
    <row r="907" spans="1:30" x14ac:dyDescent="0.2">
      <c r="A907" s="18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1:30" x14ac:dyDescent="0.2">
      <c r="A908" s="18">
        <v>68</v>
      </c>
      <c r="B908" s="20" t="s">
        <v>284</v>
      </c>
      <c r="C908" s="20" t="s">
        <v>51</v>
      </c>
      <c r="D908" s="19">
        <f>33537/1000</f>
        <v>33.536999999999999</v>
      </c>
      <c r="E908" s="19">
        <f>[1]TOBEPAID!E689/1000</f>
        <v>0</v>
      </c>
      <c r="F908" s="19">
        <f>[1]TOBEPAID!F689/1000</f>
        <v>0</v>
      </c>
      <c r="G908" s="19">
        <f>[1]TOBEPAID!G689/1000</f>
        <v>0</v>
      </c>
      <c r="H908" s="19">
        <v>0</v>
      </c>
      <c r="I908" s="19">
        <f>[1]TOBEPAID!I689/1000</f>
        <v>0</v>
      </c>
      <c r="J908" s="19">
        <f>[1]TOBEPAID!J689/1000</f>
        <v>0</v>
      </c>
      <c r="K908" s="19">
        <f>[1]TOBEPAID!K689/1000</f>
        <v>0</v>
      </c>
      <c r="L908" s="19">
        <f>[1]TOBEPAID!L689/1000</f>
        <v>0</v>
      </c>
      <c r="M908" s="19">
        <f>[1]TOBEPAID!M689/1000</f>
        <v>0</v>
      </c>
      <c r="N908" s="19">
        <f>[1]TOBEPAID!N689/1000</f>
        <v>0</v>
      </c>
      <c r="O908" s="19">
        <f>[1]TOBEPAID!O689/1000</f>
        <v>33.53792</v>
      </c>
      <c r="P908" s="19">
        <f>[1]TOBEPAID!P689/1000</f>
        <v>0</v>
      </c>
      <c r="Q908" s="19">
        <f>[1]TOBEPAID!Q689/1000</f>
        <v>0</v>
      </c>
      <c r="R908" s="19">
        <f>33537/1000</f>
        <v>33.536999999999999</v>
      </c>
      <c r="S908" s="19">
        <f>[1]TOBEPAID!S689/1000</f>
        <v>0</v>
      </c>
      <c r="T908" s="19">
        <f>[1]TOBEPAID!T689/1000</f>
        <v>0</v>
      </c>
      <c r="U908" s="19">
        <f>[1]TOBEPAID!U689/1000</f>
        <v>0</v>
      </c>
      <c r="V908" s="19">
        <f>[1]TOBEPAID!V689/1000</f>
        <v>0</v>
      </c>
      <c r="W908" s="19">
        <f>[1]TOBEPAID!W689/1000</f>
        <v>0</v>
      </c>
      <c r="X908" s="19">
        <f>[1]TOBEPAID!X689/1000</f>
        <v>33.53792</v>
      </c>
      <c r="Y908" s="19">
        <f t="shared" ref="Y908:Y913" si="166">+H908+R908</f>
        <v>33.536999999999999</v>
      </c>
      <c r="Z908" s="19">
        <f t="shared" ref="Z908:Z913" si="167">+D908-Y908</f>
        <v>0</v>
      </c>
      <c r="AA908" s="19">
        <f>[1]TOBEPAID!AA689/1000</f>
        <v>33.53792</v>
      </c>
      <c r="AB908" s="19">
        <f>[1]TOBEPAID!AB689/1000</f>
        <v>0</v>
      </c>
      <c r="AC908" s="19"/>
      <c r="AD908" s="19"/>
    </row>
    <row r="909" spans="1:30" x14ac:dyDescent="0.2">
      <c r="A909" s="18"/>
      <c r="C909" s="20" t="s">
        <v>52</v>
      </c>
      <c r="D909" s="19">
        <f>2222894/1000</f>
        <v>2222.8939999999998</v>
      </c>
      <c r="E909" s="19">
        <f>[1]TOBEPAID!E690/1000</f>
        <v>2222.8939999999998</v>
      </c>
      <c r="F909" s="19">
        <f>[1]TOBEPAID!F690/1000</f>
        <v>0</v>
      </c>
      <c r="G909" s="19">
        <f>[1]TOBEPAID!G690/1000</f>
        <v>0</v>
      </c>
      <c r="H909" s="19">
        <f>2222894/1000</f>
        <v>2222.8939999999998</v>
      </c>
      <c r="I909" s="19">
        <f>[1]TOBEPAID!I690/1000</f>
        <v>0</v>
      </c>
      <c r="J909" s="19">
        <f>[1]TOBEPAID!J690/1000</f>
        <v>0</v>
      </c>
      <c r="K909" s="19">
        <f>[1]TOBEPAID!K690/1000</f>
        <v>0</v>
      </c>
      <c r="L909" s="19">
        <f>[1]TOBEPAID!L690/1000</f>
        <v>0</v>
      </c>
      <c r="M909" s="19">
        <f>[1]TOBEPAID!M690/1000</f>
        <v>0</v>
      </c>
      <c r="N909" s="19">
        <f>[1]TOBEPAID!N690/1000</f>
        <v>2222.8939999999998</v>
      </c>
      <c r="O909" s="19">
        <f>[1]TOBEPAID!O690/1000</f>
        <v>0</v>
      </c>
      <c r="P909" s="19">
        <f>[1]TOBEPAID!P690/1000</f>
        <v>0</v>
      </c>
      <c r="Q909" s="19">
        <f>[1]TOBEPAID!Q690/1000</f>
        <v>0</v>
      </c>
      <c r="R909" s="19">
        <v>0</v>
      </c>
      <c r="S909" s="19">
        <f>[1]TOBEPAID!S690/1000</f>
        <v>0</v>
      </c>
      <c r="T909" s="19">
        <f>[1]TOBEPAID!T690/1000</f>
        <v>0</v>
      </c>
      <c r="U909" s="19">
        <f>[1]TOBEPAID!U690/1000</f>
        <v>0</v>
      </c>
      <c r="V909" s="19">
        <f>[1]TOBEPAID!V690/1000</f>
        <v>0</v>
      </c>
      <c r="W909" s="19">
        <f>[1]TOBEPAID!W690/1000</f>
        <v>0</v>
      </c>
      <c r="X909" s="19">
        <f>[1]TOBEPAID!X690/1000</f>
        <v>0</v>
      </c>
      <c r="Y909" s="19">
        <f t="shared" si="166"/>
        <v>2222.8939999999998</v>
      </c>
      <c r="Z909" s="19">
        <f t="shared" si="167"/>
        <v>0</v>
      </c>
      <c r="AA909" s="19">
        <f>[1]TOBEPAID!AA690/1000</f>
        <v>2222.8939999999998</v>
      </c>
      <c r="AB909" s="19">
        <f>[1]TOBEPAID!AB690/1000</f>
        <v>0</v>
      </c>
      <c r="AC909" s="19"/>
      <c r="AD909" s="19"/>
    </row>
    <row r="910" spans="1:30" x14ac:dyDescent="0.2">
      <c r="A910" s="18"/>
      <c r="C910" s="20" t="s">
        <v>161</v>
      </c>
      <c r="D910" s="19">
        <f>9599100/1000</f>
        <v>9599.1</v>
      </c>
      <c r="E910" s="19"/>
      <c r="F910" s="19"/>
      <c r="G910" s="19"/>
      <c r="H910" s="19">
        <f>9599100/1000</f>
        <v>9599.1</v>
      </c>
      <c r="I910" s="19"/>
      <c r="J910" s="19"/>
      <c r="K910" s="19"/>
      <c r="L910" s="19"/>
      <c r="M910" s="19"/>
      <c r="N910" s="19"/>
      <c r="O910" s="19"/>
      <c r="P910" s="19"/>
      <c r="Q910" s="19"/>
      <c r="R910" s="19">
        <v>0</v>
      </c>
      <c r="S910" s="19"/>
      <c r="T910" s="19"/>
      <c r="U910" s="19"/>
      <c r="V910" s="19"/>
      <c r="W910" s="19"/>
      <c r="X910" s="19"/>
      <c r="Y910" s="19">
        <f t="shared" si="166"/>
        <v>9599.1</v>
      </c>
      <c r="Z910" s="19">
        <f t="shared" si="167"/>
        <v>0</v>
      </c>
      <c r="AA910" s="19"/>
      <c r="AB910" s="19"/>
      <c r="AC910" s="19"/>
      <c r="AD910" s="19"/>
    </row>
    <row r="911" spans="1:30" x14ac:dyDescent="0.2">
      <c r="A911" s="18"/>
      <c r="C911" s="17" t="s">
        <v>54</v>
      </c>
      <c r="D911" s="19">
        <v>0</v>
      </c>
      <c r="E911" s="19">
        <f>[1]TOBEPAID!E691/1000</f>
        <v>0</v>
      </c>
      <c r="F911" s="19">
        <f>[1]TOBEPAID!F691/1000</f>
        <v>0</v>
      </c>
      <c r="G911" s="19">
        <f>[1]TOBEPAID!G691/1000</f>
        <v>0</v>
      </c>
      <c r="H911" s="19">
        <v>0</v>
      </c>
      <c r="I911" s="19">
        <f>[1]TOBEPAID!I691/1000</f>
        <v>0</v>
      </c>
      <c r="J911" s="19">
        <f>[1]TOBEPAID!J691/1000</f>
        <v>0</v>
      </c>
      <c r="K911" s="19">
        <f>[1]TOBEPAID!K691/1000</f>
        <v>0</v>
      </c>
      <c r="L911" s="19">
        <f>[1]TOBEPAID!L691/1000</f>
        <v>0</v>
      </c>
      <c r="M911" s="19">
        <f>[1]TOBEPAID!M691/1000</f>
        <v>0</v>
      </c>
      <c r="N911" s="19">
        <f>[1]TOBEPAID!N691/1000</f>
        <v>0</v>
      </c>
      <c r="O911" s="19">
        <f>[1]TOBEPAID!O691/1000</f>
        <v>0</v>
      </c>
      <c r="P911" s="19">
        <f>[1]TOBEPAID!P691/1000</f>
        <v>0</v>
      </c>
      <c r="Q911" s="19">
        <f>[1]TOBEPAID!Q691/1000</f>
        <v>0</v>
      </c>
      <c r="R911" s="19">
        <v>0</v>
      </c>
      <c r="S911" s="19">
        <f>[1]TOBEPAID!S691/1000</f>
        <v>0</v>
      </c>
      <c r="T911" s="19">
        <f>[1]TOBEPAID!T691/1000</f>
        <v>0</v>
      </c>
      <c r="U911" s="19">
        <f>[1]TOBEPAID!U691/1000</f>
        <v>0</v>
      </c>
      <c r="V911" s="19">
        <f>[1]TOBEPAID!V691/1000</f>
        <v>0</v>
      </c>
      <c r="W911" s="19">
        <f>[1]TOBEPAID!W691/1000</f>
        <v>0</v>
      </c>
      <c r="X911" s="19">
        <f>[1]TOBEPAID!X691/1000</f>
        <v>0</v>
      </c>
      <c r="Y911" s="19">
        <f t="shared" si="166"/>
        <v>0</v>
      </c>
      <c r="Z911" s="19">
        <f t="shared" si="167"/>
        <v>0</v>
      </c>
      <c r="AA911" s="19">
        <f>[1]TOBEPAID!AA691/1000</f>
        <v>0</v>
      </c>
      <c r="AB911" s="19">
        <f>[1]TOBEPAID!AB691/1000</f>
        <v>0</v>
      </c>
      <c r="AC911" s="19"/>
      <c r="AD911" s="19"/>
    </row>
    <row r="912" spans="1:30" x14ac:dyDescent="0.2">
      <c r="A912" s="18"/>
      <c r="C912" s="31" t="s">
        <v>56</v>
      </c>
      <c r="D912" s="19">
        <v>0</v>
      </c>
      <c r="E912" s="19">
        <f>[1]TOBEPAID!E692/1000</f>
        <v>0</v>
      </c>
      <c r="F912" s="19">
        <f>[1]TOBEPAID!F692/1000</f>
        <v>0</v>
      </c>
      <c r="G912" s="19">
        <f>[1]TOBEPAID!G692/1000</f>
        <v>0</v>
      </c>
      <c r="H912" s="19">
        <v>0</v>
      </c>
      <c r="I912" s="19">
        <f>[1]TOBEPAID!I692/1000</f>
        <v>0</v>
      </c>
      <c r="J912" s="19">
        <f>[1]TOBEPAID!J692/1000</f>
        <v>0</v>
      </c>
      <c r="K912" s="19">
        <f>[1]TOBEPAID!K692/1000</f>
        <v>0</v>
      </c>
      <c r="L912" s="19">
        <f>[1]TOBEPAID!L692/1000</f>
        <v>0</v>
      </c>
      <c r="M912" s="19">
        <f>[1]TOBEPAID!M692/1000</f>
        <v>0</v>
      </c>
      <c r="N912" s="19">
        <f>[1]TOBEPAID!N692/1000</f>
        <v>0</v>
      </c>
      <c r="O912" s="19">
        <f>[1]TOBEPAID!O692/1000</f>
        <v>0</v>
      </c>
      <c r="P912" s="19">
        <f>[1]TOBEPAID!P692/1000</f>
        <v>0</v>
      </c>
      <c r="Q912" s="19">
        <f>[1]TOBEPAID!Q692/1000</f>
        <v>0</v>
      </c>
      <c r="R912" s="19">
        <v>0</v>
      </c>
      <c r="S912" s="19">
        <f>[1]TOBEPAID!S692/1000</f>
        <v>0</v>
      </c>
      <c r="T912" s="19">
        <f>[1]TOBEPAID!T692/1000</f>
        <v>0</v>
      </c>
      <c r="U912" s="19">
        <f>[1]TOBEPAID!U692/1000</f>
        <v>0</v>
      </c>
      <c r="V912" s="19">
        <f>[1]TOBEPAID!V692/1000</f>
        <v>0</v>
      </c>
      <c r="W912" s="19">
        <f>[1]TOBEPAID!W692/1000</f>
        <v>0</v>
      </c>
      <c r="X912" s="19">
        <f>[1]TOBEPAID!X692/1000</f>
        <v>0</v>
      </c>
      <c r="Y912" s="19">
        <f t="shared" si="166"/>
        <v>0</v>
      </c>
      <c r="Z912" s="19">
        <f t="shared" si="167"/>
        <v>0</v>
      </c>
      <c r="AA912" s="19">
        <f>[1]TOBEPAID!AA692/1000</f>
        <v>0</v>
      </c>
      <c r="AB912" s="19">
        <f>[1]TOBEPAID!AB692/1000</f>
        <v>0</v>
      </c>
      <c r="AC912" s="19"/>
      <c r="AD912" s="19"/>
    </row>
    <row r="913" spans="1:30" x14ac:dyDescent="0.2">
      <c r="A913" s="18"/>
      <c r="C913" s="20" t="str">
        <f>+C106</f>
        <v>EL-CONCESSIONAL</v>
      </c>
      <c r="D913" s="19">
        <f>3406124/1000</f>
        <v>3406.1239999999998</v>
      </c>
      <c r="E913" s="19">
        <f>[1]TOBEPAID!E693/1000</f>
        <v>3406.1239999999998</v>
      </c>
      <c r="F913" s="19">
        <f>[1]TOBEPAID!F693/1000</f>
        <v>0</v>
      </c>
      <c r="G913" s="19">
        <f>[1]TOBEPAID!G693/1000</f>
        <v>0</v>
      </c>
      <c r="H913" s="19">
        <f>3406124/1000</f>
        <v>3406.1239999999998</v>
      </c>
      <c r="I913" s="19">
        <f>[1]TOBEPAID!I693/1000</f>
        <v>0</v>
      </c>
      <c r="J913" s="19">
        <f>[1]TOBEPAID!J693/1000</f>
        <v>0</v>
      </c>
      <c r="K913" s="19">
        <f>[1]TOBEPAID!K693/1000</f>
        <v>0</v>
      </c>
      <c r="L913" s="19">
        <f>[1]TOBEPAID!L693/1000</f>
        <v>0</v>
      </c>
      <c r="M913" s="19">
        <f>[1]TOBEPAID!M693/1000</f>
        <v>0</v>
      </c>
      <c r="N913" s="19">
        <f>[1]TOBEPAID!N693/1000</f>
        <v>3406.1239999999998</v>
      </c>
      <c r="O913" s="19">
        <f>[1]TOBEPAID!O693/1000</f>
        <v>0</v>
      </c>
      <c r="P913" s="19">
        <f>[1]TOBEPAID!P693/1000</f>
        <v>0</v>
      </c>
      <c r="Q913" s="19">
        <f>[1]TOBEPAID!Q693/1000</f>
        <v>0</v>
      </c>
      <c r="R913" s="19">
        <v>0</v>
      </c>
      <c r="S913" s="19">
        <f>[1]TOBEPAID!S693/1000</f>
        <v>0</v>
      </c>
      <c r="T913" s="19">
        <f>[1]TOBEPAID!T693/1000</f>
        <v>0</v>
      </c>
      <c r="U913" s="19">
        <f>[1]TOBEPAID!U693/1000</f>
        <v>0</v>
      </c>
      <c r="V913" s="19">
        <f>[1]TOBEPAID!V693/1000</f>
        <v>0</v>
      </c>
      <c r="W913" s="19">
        <f>[1]TOBEPAID!W693/1000</f>
        <v>0</v>
      </c>
      <c r="X913" s="19">
        <f>[1]TOBEPAID!X693/1000</f>
        <v>0</v>
      </c>
      <c r="Y913" s="19">
        <f t="shared" si="166"/>
        <v>3406.1239999999998</v>
      </c>
      <c r="Z913" s="19">
        <f t="shared" si="167"/>
        <v>0</v>
      </c>
      <c r="AA913" s="19">
        <f>[1]TOBEPAID!AA693/1000</f>
        <v>3406.1239999999998</v>
      </c>
      <c r="AB913" s="19">
        <f>[1]TOBEPAID!AB693/1000</f>
        <v>0</v>
      </c>
      <c r="AC913" s="19"/>
      <c r="AD913" s="19"/>
    </row>
    <row r="914" spans="1:30" x14ac:dyDescent="0.2">
      <c r="A914" s="18"/>
      <c r="D914" s="21" t="s">
        <v>57</v>
      </c>
      <c r="E914" s="21" t="s">
        <v>57</v>
      </c>
      <c r="F914" s="21" t="s">
        <v>57</v>
      </c>
      <c r="G914" s="21"/>
      <c r="H914" s="21" t="s">
        <v>57</v>
      </c>
      <c r="I914" s="21" t="s">
        <v>57</v>
      </c>
      <c r="J914" s="21" t="s">
        <v>57</v>
      </c>
      <c r="K914" s="21" t="s">
        <v>57</v>
      </c>
      <c r="L914" s="21" t="s">
        <v>57</v>
      </c>
      <c r="M914" s="21"/>
      <c r="N914" s="21" t="s">
        <v>57</v>
      </c>
      <c r="O914" s="21" t="s">
        <v>57</v>
      </c>
      <c r="P914" s="21" t="s">
        <v>57</v>
      </c>
      <c r="Q914" s="21"/>
      <c r="R914" s="21" t="s">
        <v>57</v>
      </c>
      <c r="S914" s="21" t="s">
        <v>57</v>
      </c>
      <c r="T914" s="21" t="s">
        <v>57</v>
      </c>
      <c r="U914" s="21" t="s">
        <v>57</v>
      </c>
      <c r="V914" s="21" t="s">
        <v>57</v>
      </c>
      <c r="W914" s="21"/>
      <c r="X914" s="21" t="s">
        <v>57</v>
      </c>
      <c r="Y914" s="21" t="s">
        <v>57</v>
      </c>
      <c r="Z914" s="21" t="s">
        <v>57</v>
      </c>
      <c r="AA914" s="21" t="s">
        <v>57</v>
      </c>
      <c r="AB914" s="21" t="s">
        <v>57</v>
      </c>
      <c r="AC914" s="21"/>
      <c r="AD914" s="21"/>
    </row>
    <row r="915" spans="1:30" x14ac:dyDescent="0.2">
      <c r="A915" s="18"/>
      <c r="D915" s="19">
        <f>SUM(D908:D913)</f>
        <v>15261.654999999999</v>
      </c>
      <c r="E915" s="19">
        <f>SUM(E908:E913)</f>
        <v>5629.018</v>
      </c>
      <c r="F915" s="19">
        <f>SUM(F908:F913)</f>
        <v>0</v>
      </c>
      <c r="G915" s="19"/>
      <c r="H915" s="19">
        <f>SUM(H908:H913)</f>
        <v>15228.118</v>
      </c>
      <c r="I915" s="19">
        <f>SUM(I908:I913)</f>
        <v>0</v>
      </c>
      <c r="J915" s="19">
        <f>SUM(J908:J913)</f>
        <v>0</v>
      </c>
      <c r="K915" s="19">
        <f>SUM(K908:K913)</f>
        <v>0</v>
      </c>
      <c r="L915" s="19">
        <f>SUM(L908:L913)</f>
        <v>0</v>
      </c>
      <c r="M915" s="19"/>
      <c r="N915" s="19">
        <f>SUM(N908:N913)</f>
        <v>5629.018</v>
      </c>
      <c r="O915" s="19">
        <f>SUM(O908:O913)</f>
        <v>33.53792</v>
      </c>
      <c r="P915" s="19">
        <f>SUM(P908:P913)</f>
        <v>0</v>
      </c>
      <c r="Q915" s="19"/>
      <c r="R915" s="19">
        <f>SUM(R908:R913)</f>
        <v>33.536999999999999</v>
      </c>
      <c r="S915" s="19">
        <f>SUM(S908:S913)</f>
        <v>0</v>
      </c>
      <c r="T915" s="19">
        <f>SUM(T908:T913)</f>
        <v>0</v>
      </c>
      <c r="U915" s="19">
        <f>SUM(U908:U913)</f>
        <v>0</v>
      </c>
      <c r="V915" s="19">
        <f>SUM(V908:V913)</f>
        <v>0</v>
      </c>
      <c r="W915" s="19"/>
      <c r="X915" s="19">
        <f>SUM(X908:X913)</f>
        <v>33.53792</v>
      </c>
      <c r="Y915" s="19">
        <f>SUM(Y908:Y913)</f>
        <v>15261.654999999999</v>
      </c>
      <c r="Z915" s="19">
        <f>SUM(Z908:Z913)</f>
        <v>0</v>
      </c>
      <c r="AA915" s="19">
        <f>SUM(AA908:AA913)</f>
        <v>5662.5559199999998</v>
      </c>
      <c r="AB915" s="19">
        <f>SUM(AB908:AB913)</f>
        <v>0</v>
      </c>
      <c r="AC915" s="19"/>
      <c r="AD915" s="19"/>
    </row>
    <row r="916" spans="1:30" x14ac:dyDescent="0.2">
      <c r="A916" s="18"/>
      <c r="B916" s="3" t="s">
        <v>285</v>
      </c>
      <c r="D916" s="21" t="s">
        <v>57</v>
      </c>
      <c r="E916" s="21" t="s">
        <v>57</v>
      </c>
      <c r="F916" s="21" t="s">
        <v>57</v>
      </c>
      <c r="G916" s="21"/>
      <c r="H916" s="21" t="s">
        <v>57</v>
      </c>
      <c r="I916" s="21" t="s">
        <v>57</v>
      </c>
      <c r="J916" s="21" t="s">
        <v>57</v>
      </c>
      <c r="K916" s="21" t="s">
        <v>57</v>
      </c>
      <c r="L916" s="21" t="s">
        <v>57</v>
      </c>
      <c r="M916" s="21"/>
      <c r="N916" s="21" t="s">
        <v>57</v>
      </c>
      <c r="O916" s="21" t="s">
        <v>57</v>
      </c>
      <c r="P916" s="21" t="s">
        <v>57</v>
      </c>
      <c r="Q916" s="21"/>
      <c r="R916" s="21" t="s">
        <v>57</v>
      </c>
      <c r="S916" s="21" t="s">
        <v>57</v>
      </c>
      <c r="T916" s="21" t="s">
        <v>57</v>
      </c>
      <c r="U916" s="21" t="s">
        <v>57</v>
      </c>
      <c r="V916" s="21" t="s">
        <v>57</v>
      </c>
      <c r="W916" s="21"/>
      <c r="X916" s="21" t="s">
        <v>57</v>
      </c>
      <c r="Y916" s="21" t="s">
        <v>57</v>
      </c>
      <c r="Z916" s="21" t="s">
        <v>57</v>
      </c>
      <c r="AA916" s="21" t="s">
        <v>57</v>
      </c>
      <c r="AB916" s="21" t="s">
        <v>57</v>
      </c>
      <c r="AC916" s="21"/>
      <c r="AD916" s="21"/>
    </row>
    <row r="917" spans="1:30" ht="15.75" thickBot="1" x14ac:dyDescent="0.25">
      <c r="A917" s="18"/>
      <c r="B917" s="22" t="s">
        <v>58</v>
      </c>
      <c r="D917" s="23">
        <f>358109/1000</f>
        <v>358.10899999999998</v>
      </c>
      <c r="E917" s="19">
        <f>[1]TOBEPAID!E697/1000</f>
        <v>0</v>
      </c>
      <c r="F917" s="19">
        <f>[1]TOBEPAID!F697/1000</f>
        <v>0</v>
      </c>
      <c r="G917" s="19">
        <f>[1]TOBEPAID!G697/1000</f>
        <v>0</v>
      </c>
      <c r="H917" s="19"/>
      <c r="I917" s="19">
        <f>[1]TOBEPAID!I697/1000</f>
        <v>0</v>
      </c>
      <c r="J917" s="19">
        <f>[1]TOBEPAID!J697/1000</f>
        <v>0</v>
      </c>
      <c r="K917" s="19">
        <f>[1]TOBEPAID!K697/1000</f>
        <v>0</v>
      </c>
      <c r="L917" s="19">
        <f>[1]TOBEPAID!L697/1000</f>
        <v>0</v>
      </c>
      <c r="M917" s="19">
        <f>[1]TOBEPAID!M697/1000</f>
        <v>0</v>
      </c>
      <c r="N917" s="19">
        <f>[1]TOBEPAID!N697/1000</f>
        <v>0</v>
      </c>
      <c r="O917" s="19">
        <f>[1]TOBEPAID!O697/1000</f>
        <v>1006.94906</v>
      </c>
      <c r="P917" s="19">
        <f>[1]TOBEPAID!P697/1000</f>
        <v>0</v>
      </c>
      <c r="Q917" s="19">
        <f>[1]TOBEPAID!Q697/1000</f>
        <v>0</v>
      </c>
      <c r="R917" s="23">
        <f>+D917</f>
        <v>358.10899999999998</v>
      </c>
      <c r="S917" s="23">
        <f t="shared" ref="S917:X917" si="168">1006949/1000</f>
        <v>1006.949</v>
      </c>
      <c r="T917" s="23">
        <f t="shared" si="168"/>
        <v>1006.949</v>
      </c>
      <c r="U917" s="23">
        <f t="shared" si="168"/>
        <v>1006.949</v>
      </c>
      <c r="V917" s="23">
        <f t="shared" si="168"/>
        <v>1006.949</v>
      </c>
      <c r="W917" s="23">
        <f t="shared" si="168"/>
        <v>1006.949</v>
      </c>
      <c r="X917" s="23">
        <f t="shared" si="168"/>
        <v>1006.949</v>
      </c>
      <c r="Y917" s="23">
        <f>+R917</f>
        <v>358.10899999999998</v>
      </c>
      <c r="Z917" s="23">
        <f t="shared" ref="Z917:Z922" si="169">+D917-Y917</f>
        <v>0</v>
      </c>
      <c r="AA917" s="19">
        <f>[1]TOBEPAID!AA697/1000</f>
        <v>0</v>
      </c>
      <c r="AB917" s="19">
        <f>[1]TOBEPAID!AB697/1000</f>
        <v>0</v>
      </c>
      <c r="AC917" s="19"/>
      <c r="AD917" s="19"/>
    </row>
    <row r="918" spans="1:30" ht="15.75" thickTop="1" x14ac:dyDescent="0.2">
      <c r="A918" s="18">
        <v>69</v>
      </c>
      <c r="B918" s="17" t="s">
        <v>286</v>
      </c>
      <c r="C918" s="17" t="s">
        <v>51</v>
      </c>
      <c r="D918" s="19">
        <f>18072803/1000</f>
        <v>18072.803</v>
      </c>
      <c r="E918" s="19">
        <f>[1]TOBEPAID!E698/1000</f>
        <v>0</v>
      </c>
      <c r="F918" s="19">
        <f>[1]TOBEPAID!F698/1000</f>
        <v>0</v>
      </c>
      <c r="G918" s="19">
        <f>[1]TOBEPAID!G698/1000</f>
        <v>0</v>
      </c>
      <c r="H918" s="19">
        <f>18072803/1000</f>
        <v>18072.803</v>
      </c>
      <c r="I918" s="19">
        <f>[1]TOBEPAID!I698/1000</f>
        <v>0</v>
      </c>
      <c r="J918" s="19">
        <f>[1]TOBEPAID!J698/1000</f>
        <v>0</v>
      </c>
      <c r="K918" s="19">
        <f>[1]TOBEPAID!K698/1000</f>
        <v>0</v>
      </c>
      <c r="L918" s="19">
        <f>[1]TOBEPAID!L698/1000</f>
        <v>0</v>
      </c>
      <c r="M918" s="19">
        <f>[1]TOBEPAID!M698/1000</f>
        <v>0</v>
      </c>
      <c r="N918" s="19">
        <f>[1]TOBEPAID!N698/1000</f>
        <v>0</v>
      </c>
      <c r="O918" s="19">
        <f>[1]TOBEPAID!O698/1000</f>
        <v>0</v>
      </c>
      <c r="P918" s="19">
        <f>[1]TOBEPAID!P698/1000</f>
        <v>0</v>
      </c>
      <c r="Q918" s="19">
        <f>[1]TOBEPAID!Q698/1000</f>
        <v>0</v>
      </c>
      <c r="R918" s="19">
        <v>0</v>
      </c>
      <c r="S918" s="19">
        <f>[1]TOBEPAID!S698/1000</f>
        <v>0</v>
      </c>
      <c r="T918" s="19">
        <f>[1]TOBEPAID!T698/1000</f>
        <v>0</v>
      </c>
      <c r="U918" s="19">
        <f>[1]TOBEPAID!U698/1000</f>
        <v>0</v>
      </c>
      <c r="V918" s="19">
        <f>[1]TOBEPAID!V698/1000</f>
        <v>0</v>
      </c>
      <c r="W918" s="19">
        <f>[1]TOBEPAID!W698/1000</f>
        <v>0</v>
      </c>
      <c r="X918" s="19">
        <f>[1]TOBEPAID!X698/1000</f>
        <v>0</v>
      </c>
      <c r="Y918" s="19">
        <f>+H918+R918</f>
        <v>18072.803</v>
      </c>
      <c r="Z918" s="19">
        <f t="shared" si="169"/>
        <v>0</v>
      </c>
      <c r="AA918" s="19">
        <f>[1]TOBEPAID!AA698/1000</f>
        <v>0</v>
      </c>
      <c r="AB918" s="19">
        <f>[1]TOBEPAID!AB698/1000</f>
        <v>12106.72884</v>
      </c>
      <c r="AC918" s="19"/>
      <c r="AD918" s="19"/>
    </row>
    <row r="919" spans="1:30" x14ac:dyDescent="0.2">
      <c r="A919" s="18"/>
      <c r="C919" s="20" t="s">
        <v>52</v>
      </c>
      <c r="D919" s="19">
        <f>3000000/1000</f>
        <v>3000</v>
      </c>
      <c r="E919" s="19">
        <f>[1]TOBEPAID!E699/1000</f>
        <v>3000</v>
      </c>
      <c r="F919" s="19">
        <f>[1]TOBEPAID!F699/1000</f>
        <v>0</v>
      </c>
      <c r="G919" s="19">
        <f>[1]TOBEPAID!G699/1000</f>
        <v>0</v>
      </c>
      <c r="H919" s="19">
        <f>[1]TOBEPAID!H699/1000</f>
        <v>3000</v>
      </c>
      <c r="I919" s="19">
        <f>[1]TOBEPAID!I699/1000</f>
        <v>0</v>
      </c>
      <c r="J919" s="19">
        <f>[1]TOBEPAID!J699/1000</f>
        <v>0</v>
      </c>
      <c r="K919" s="19">
        <f>[1]TOBEPAID!K699/1000</f>
        <v>0</v>
      </c>
      <c r="L919" s="19">
        <f>[1]TOBEPAID!L699/1000</f>
        <v>0</v>
      </c>
      <c r="M919" s="19">
        <f>[1]TOBEPAID!M699/1000</f>
        <v>0</v>
      </c>
      <c r="N919" s="19">
        <f>[1]TOBEPAID!N699/1000</f>
        <v>3000</v>
      </c>
      <c r="O919" s="19">
        <f>[1]TOBEPAID!O699/1000</f>
        <v>0</v>
      </c>
      <c r="P919" s="19">
        <f>[1]TOBEPAID!P699/1000</f>
        <v>0</v>
      </c>
      <c r="Q919" s="19">
        <f>[1]TOBEPAID!Q699/1000</f>
        <v>0</v>
      </c>
      <c r="R919" s="19">
        <v>0</v>
      </c>
      <c r="S919" s="19">
        <f>[1]TOBEPAID!S699/1000</f>
        <v>0</v>
      </c>
      <c r="T919" s="19">
        <f>[1]TOBEPAID!T699/1000</f>
        <v>0</v>
      </c>
      <c r="U919" s="19">
        <f>[1]TOBEPAID!U699/1000</f>
        <v>0</v>
      </c>
      <c r="V919" s="19">
        <f>[1]TOBEPAID!V699/1000</f>
        <v>0</v>
      </c>
      <c r="W919" s="19">
        <f>[1]TOBEPAID!W699/1000</f>
        <v>0</v>
      </c>
      <c r="X919" s="19">
        <f>[1]TOBEPAID!X699/1000</f>
        <v>0</v>
      </c>
      <c r="Y919" s="19">
        <f>+H919+R919</f>
        <v>3000</v>
      </c>
      <c r="Z919" s="19">
        <f t="shared" si="169"/>
        <v>0</v>
      </c>
      <c r="AA919" s="19">
        <f>[1]TOBEPAID!AA699/1000</f>
        <v>3000</v>
      </c>
      <c r="AB919" s="19">
        <f>[1]TOBEPAID!AB699/1000</f>
        <v>0</v>
      </c>
      <c r="AC919" s="19"/>
      <c r="AD919" s="19"/>
    </row>
    <row r="920" spans="1:30" x14ac:dyDescent="0.2">
      <c r="A920" s="18"/>
      <c r="C920" s="20" t="s">
        <v>259</v>
      </c>
      <c r="D920" s="19">
        <f>10000000/1000</f>
        <v>10000</v>
      </c>
      <c r="E920" s="19"/>
      <c r="F920" s="19"/>
      <c r="G920" s="19"/>
      <c r="H920" s="19">
        <f>10000000/1000</f>
        <v>10000</v>
      </c>
      <c r="I920" s="19"/>
      <c r="J920" s="19"/>
      <c r="K920" s="19"/>
      <c r="L920" s="19"/>
      <c r="M920" s="19"/>
      <c r="N920" s="19"/>
      <c r="O920" s="19"/>
      <c r="P920" s="19"/>
      <c r="Q920" s="19"/>
      <c r="R920" s="19">
        <v>0</v>
      </c>
      <c r="S920" s="19"/>
      <c r="T920" s="19"/>
      <c r="U920" s="19"/>
      <c r="V920" s="19"/>
      <c r="W920" s="19"/>
      <c r="X920" s="19"/>
      <c r="Y920" s="19">
        <f>+H920+R920</f>
        <v>10000</v>
      </c>
      <c r="Z920" s="19">
        <f t="shared" si="169"/>
        <v>0</v>
      </c>
      <c r="AA920" s="19"/>
      <c r="AB920" s="19"/>
      <c r="AC920" s="19"/>
      <c r="AD920" s="19"/>
    </row>
    <row r="921" spans="1:30" x14ac:dyDescent="0.2">
      <c r="A921" s="18"/>
      <c r="C921" s="17" t="s">
        <v>54</v>
      </c>
      <c r="D921" s="19">
        <v>0</v>
      </c>
      <c r="E921" s="19">
        <f>[1]TOBEPAID!E700/1000</f>
        <v>0</v>
      </c>
      <c r="F921" s="19">
        <f>[1]TOBEPAID!F700/1000</f>
        <v>0</v>
      </c>
      <c r="G921" s="19">
        <f>[1]TOBEPAID!G700/1000</f>
        <v>0</v>
      </c>
      <c r="H921" s="19">
        <f>[1]TOBEPAID!H700/1000</f>
        <v>0</v>
      </c>
      <c r="I921" s="19">
        <f>[1]TOBEPAID!I700/1000</f>
        <v>0</v>
      </c>
      <c r="J921" s="19">
        <f>[1]TOBEPAID!J700/1000</f>
        <v>0</v>
      </c>
      <c r="K921" s="19">
        <f>[1]TOBEPAID!K700/1000</f>
        <v>0</v>
      </c>
      <c r="L921" s="19">
        <f>[1]TOBEPAID!L700/1000</f>
        <v>0</v>
      </c>
      <c r="M921" s="19">
        <f>[1]TOBEPAID!M700/1000</f>
        <v>0</v>
      </c>
      <c r="N921" s="19">
        <f>[1]TOBEPAID!N700/1000</f>
        <v>0</v>
      </c>
      <c r="O921" s="19">
        <f>[1]TOBEPAID!O700/1000</f>
        <v>0</v>
      </c>
      <c r="P921" s="19">
        <f>[1]TOBEPAID!P700/1000</f>
        <v>0</v>
      </c>
      <c r="Q921" s="19">
        <f>[1]TOBEPAID!Q700/1000</f>
        <v>0</v>
      </c>
      <c r="R921" s="19">
        <v>0</v>
      </c>
      <c r="S921" s="19">
        <f>[1]TOBEPAID!S700/1000</f>
        <v>0</v>
      </c>
      <c r="T921" s="19">
        <f>[1]TOBEPAID!T700/1000</f>
        <v>0</v>
      </c>
      <c r="U921" s="19">
        <f>[1]TOBEPAID!U700/1000</f>
        <v>0</v>
      </c>
      <c r="V921" s="19">
        <f>[1]TOBEPAID!V700/1000</f>
        <v>0</v>
      </c>
      <c r="W921" s="19">
        <f>[1]TOBEPAID!W700/1000</f>
        <v>0</v>
      </c>
      <c r="X921" s="19">
        <f>[1]TOBEPAID!X700/1000</f>
        <v>0</v>
      </c>
      <c r="Y921" s="19">
        <f>+H921+R921</f>
        <v>0</v>
      </c>
      <c r="Z921" s="19">
        <f t="shared" si="169"/>
        <v>0</v>
      </c>
      <c r="AA921" s="19">
        <f>[1]TOBEPAID!AA700/1000</f>
        <v>0</v>
      </c>
      <c r="AB921" s="19">
        <f>[1]TOBEPAID!AB700/1000</f>
        <v>5878.0789400000003</v>
      </c>
      <c r="AC921" s="19"/>
      <c r="AD921" s="19"/>
    </row>
    <row r="922" spans="1:30" x14ac:dyDescent="0.2">
      <c r="A922" s="18"/>
      <c r="C922" s="31" t="s">
        <v>56</v>
      </c>
      <c r="D922" s="19">
        <v>0</v>
      </c>
      <c r="E922" s="19">
        <f>[1]TOBEPAID!E701/1000</f>
        <v>0</v>
      </c>
      <c r="F922" s="19">
        <f>[1]TOBEPAID!F701/1000</f>
        <v>0</v>
      </c>
      <c r="G922" s="19">
        <f>[1]TOBEPAID!G701/1000</f>
        <v>0</v>
      </c>
      <c r="H922" s="19">
        <f>[1]TOBEPAID!H701/1000</f>
        <v>0</v>
      </c>
      <c r="I922" s="19">
        <f>[1]TOBEPAID!I701/1000</f>
        <v>0</v>
      </c>
      <c r="J922" s="19">
        <f>[1]TOBEPAID!J701/1000</f>
        <v>0</v>
      </c>
      <c r="K922" s="19">
        <f>[1]TOBEPAID!K701/1000</f>
        <v>0</v>
      </c>
      <c r="L922" s="19">
        <f>[1]TOBEPAID!L701/1000</f>
        <v>0</v>
      </c>
      <c r="M922" s="19">
        <f>[1]TOBEPAID!M701/1000</f>
        <v>0</v>
      </c>
      <c r="N922" s="19">
        <f>[1]TOBEPAID!N701/1000</f>
        <v>0</v>
      </c>
      <c r="O922" s="19">
        <f>[1]TOBEPAID!O701/1000</f>
        <v>0</v>
      </c>
      <c r="P922" s="19">
        <f>[1]TOBEPAID!P701/1000</f>
        <v>0</v>
      </c>
      <c r="Q922" s="19">
        <f>[1]TOBEPAID!Q701/1000</f>
        <v>0</v>
      </c>
      <c r="R922" s="19">
        <v>0</v>
      </c>
      <c r="S922" s="19">
        <f>[1]TOBEPAID!S701/1000</f>
        <v>0</v>
      </c>
      <c r="T922" s="19">
        <f>[1]TOBEPAID!T701/1000</f>
        <v>0</v>
      </c>
      <c r="U922" s="19">
        <f>[1]TOBEPAID!U701/1000</f>
        <v>0</v>
      </c>
      <c r="V922" s="19">
        <f>[1]TOBEPAID!V701/1000</f>
        <v>0</v>
      </c>
      <c r="W922" s="19">
        <f>[1]TOBEPAID!W701/1000</f>
        <v>0</v>
      </c>
      <c r="X922" s="19">
        <f>[1]TOBEPAID!X701/1000</f>
        <v>0</v>
      </c>
      <c r="Y922" s="19">
        <f>+H922+R922</f>
        <v>0</v>
      </c>
      <c r="Z922" s="19">
        <f t="shared" si="169"/>
        <v>0</v>
      </c>
      <c r="AA922" s="19">
        <f>[1]TOBEPAID!AA701/1000</f>
        <v>0</v>
      </c>
      <c r="AB922" s="19">
        <f>[1]TOBEPAID!AB701/1000</f>
        <v>87.995660000000001</v>
      </c>
      <c r="AC922" s="19"/>
      <c r="AD922" s="19"/>
    </row>
    <row r="923" spans="1:30" x14ac:dyDescent="0.2">
      <c r="A923" s="18"/>
      <c r="D923" s="21" t="s">
        <v>57</v>
      </c>
      <c r="E923" s="21" t="s">
        <v>57</v>
      </c>
      <c r="F923" s="21" t="s">
        <v>57</v>
      </c>
      <c r="G923" s="21"/>
      <c r="H923" s="21" t="s">
        <v>57</v>
      </c>
      <c r="I923" s="21" t="s">
        <v>57</v>
      </c>
      <c r="J923" s="21" t="s">
        <v>57</v>
      </c>
      <c r="K923" s="21" t="s">
        <v>57</v>
      </c>
      <c r="L923" s="21" t="s">
        <v>57</v>
      </c>
      <c r="M923" s="21"/>
      <c r="N923" s="21" t="s">
        <v>57</v>
      </c>
      <c r="O923" s="21" t="s">
        <v>57</v>
      </c>
      <c r="P923" s="21" t="s">
        <v>57</v>
      </c>
      <c r="Q923" s="21"/>
      <c r="R923" s="21" t="s">
        <v>57</v>
      </c>
      <c r="S923" s="21" t="s">
        <v>57</v>
      </c>
      <c r="T923" s="21" t="s">
        <v>57</v>
      </c>
      <c r="U923" s="21" t="s">
        <v>57</v>
      </c>
      <c r="V923" s="21" t="s">
        <v>57</v>
      </c>
      <c r="W923" s="21"/>
      <c r="X923" s="21" t="s">
        <v>57</v>
      </c>
      <c r="Y923" s="21" t="s">
        <v>57</v>
      </c>
      <c r="Z923" s="21" t="s">
        <v>57</v>
      </c>
      <c r="AA923" s="21" t="s">
        <v>57</v>
      </c>
      <c r="AB923" s="21" t="s">
        <v>57</v>
      </c>
      <c r="AC923" s="21"/>
      <c r="AD923" s="21"/>
    </row>
    <row r="924" spans="1:30" x14ac:dyDescent="0.2">
      <c r="A924" s="18"/>
      <c r="D924" s="19">
        <f>SUM(D918:D922)</f>
        <v>31072.803</v>
      </c>
      <c r="E924" s="19">
        <f>SUM(E918:E922)</f>
        <v>3000</v>
      </c>
      <c r="F924" s="19">
        <f>SUM(F918:F922)</f>
        <v>0</v>
      </c>
      <c r="G924" s="19"/>
      <c r="H924" s="19">
        <f>SUM(H918:H922)</f>
        <v>31072.803</v>
      </c>
      <c r="I924" s="19">
        <f>SUM(I918:I922)</f>
        <v>0</v>
      </c>
      <c r="J924" s="19">
        <f>SUM(J918:J922)</f>
        <v>0</v>
      </c>
      <c r="K924" s="19">
        <f>SUM(K918:K922)</f>
        <v>0</v>
      </c>
      <c r="L924" s="19">
        <f>SUM(L918:L922)</f>
        <v>0</v>
      </c>
      <c r="M924" s="19"/>
      <c r="N924" s="19">
        <f>SUM(N918:N922)</f>
        <v>3000</v>
      </c>
      <c r="O924" s="19">
        <f>SUM(O918:O922)</f>
        <v>0</v>
      </c>
      <c r="P924" s="19">
        <f>SUM(P918:P922)</f>
        <v>0</v>
      </c>
      <c r="Q924" s="19"/>
      <c r="R924" s="19">
        <f>SUM(R918:R922)</f>
        <v>0</v>
      </c>
      <c r="S924" s="19">
        <f>SUM(S918:S922)</f>
        <v>0</v>
      </c>
      <c r="T924" s="19">
        <f>SUM(T918:T922)</f>
        <v>0</v>
      </c>
      <c r="U924" s="19">
        <f>SUM(U918:U922)</f>
        <v>0</v>
      </c>
      <c r="V924" s="19">
        <f>SUM(V918:V922)</f>
        <v>0</v>
      </c>
      <c r="W924" s="19"/>
      <c r="X924" s="19">
        <f>SUM(X918:X922)</f>
        <v>0</v>
      </c>
      <c r="Y924" s="19">
        <f>SUM(Y918:Y922)</f>
        <v>31072.803</v>
      </c>
      <c r="Z924" s="19">
        <f>SUM(Z918:Z922)</f>
        <v>0</v>
      </c>
      <c r="AA924" s="19">
        <f>SUM(AA918:AA922)</f>
        <v>3000</v>
      </c>
      <c r="AB924" s="19">
        <f>SUM(AB918:AB922)</f>
        <v>18072.80344</v>
      </c>
      <c r="AC924" s="19"/>
      <c r="AD924" s="19"/>
    </row>
    <row r="925" spans="1:30" x14ac:dyDescent="0.2">
      <c r="A925" s="18"/>
      <c r="D925" s="21" t="s">
        <v>57</v>
      </c>
      <c r="E925" s="21" t="s">
        <v>57</v>
      </c>
      <c r="F925" s="21" t="s">
        <v>57</v>
      </c>
      <c r="G925" s="21"/>
      <c r="H925" s="21" t="s">
        <v>57</v>
      </c>
      <c r="I925" s="21" t="s">
        <v>57</v>
      </c>
      <c r="J925" s="21" t="s">
        <v>57</v>
      </c>
      <c r="K925" s="21" t="s">
        <v>57</v>
      </c>
      <c r="L925" s="21" t="s">
        <v>57</v>
      </c>
      <c r="M925" s="21"/>
      <c r="N925" s="21" t="s">
        <v>57</v>
      </c>
      <c r="O925" s="21" t="s">
        <v>57</v>
      </c>
      <c r="P925" s="21" t="s">
        <v>57</v>
      </c>
      <c r="Q925" s="21"/>
      <c r="R925" s="21" t="s">
        <v>57</v>
      </c>
      <c r="S925" s="21" t="s">
        <v>57</v>
      </c>
      <c r="T925" s="21" t="s">
        <v>57</v>
      </c>
      <c r="U925" s="21" t="s">
        <v>57</v>
      </c>
      <c r="V925" s="21" t="s">
        <v>57</v>
      </c>
      <c r="W925" s="21"/>
      <c r="X925" s="21" t="s">
        <v>57</v>
      </c>
      <c r="Y925" s="21" t="s">
        <v>57</v>
      </c>
      <c r="Z925" s="21" t="s">
        <v>57</v>
      </c>
      <c r="AA925" s="21" t="s">
        <v>57</v>
      </c>
      <c r="AB925" s="21" t="s">
        <v>57</v>
      </c>
      <c r="AC925" s="21"/>
      <c r="AD925" s="21"/>
    </row>
    <row r="926" spans="1:30" x14ac:dyDescent="0.2">
      <c r="A926" s="18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1:30" x14ac:dyDescent="0.2">
      <c r="A927" s="18">
        <v>70</v>
      </c>
      <c r="B927" s="17" t="s">
        <v>287</v>
      </c>
      <c r="C927" s="17" t="s">
        <v>51</v>
      </c>
      <c r="D927" s="19">
        <f>32258196/1000</f>
        <v>32258.196</v>
      </c>
      <c r="E927" s="19">
        <f>[1]TOBEPAID!E706/1000</f>
        <v>0</v>
      </c>
      <c r="F927" s="19">
        <f>[1]TOBEPAID!F706/1000</f>
        <v>0</v>
      </c>
      <c r="G927" s="19">
        <f>[1]TOBEPAID!G706/1000</f>
        <v>0</v>
      </c>
      <c r="H927" s="19">
        <f>28860392/1000</f>
        <v>28860.392</v>
      </c>
      <c r="I927" s="19">
        <f>[1]TOBEPAID!I706/1000</f>
        <v>0</v>
      </c>
      <c r="J927" s="19">
        <f>[1]TOBEPAID!J706/1000</f>
        <v>0</v>
      </c>
      <c r="K927" s="19">
        <f>[1]TOBEPAID!K706/1000</f>
        <v>0</v>
      </c>
      <c r="L927" s="19">
        <f>[1]TOBEPAID!L706/1000</f>
        <v>0</v>
      </c>
      <c r="M927" s="19">
        <f>[1]TOBEPAID!M706/1000</f>
        <v>0</v>
      </c>
      <c r="N927" s="19">
        <f>[1]TOBEPAID!N706/1000</f>
        <v>0</v>
      </c>
      <c r="O927" s="19">
        <f>[1]TOBEPAID!O706/1000</f>
        <v>0</v>
      </c>
      <c r="P927" s="19">
        <f>[1]TOBEPAID!P706/1000</f>
        <v>0</v>
      </c>
      <c r="Q927" s="19">
        <f>[1]TOBEPAID!Q706/1000</f>
        <v>0</v>
      </c>
      <c r="R927" s="19">
        <v>0</v>
      </c>
      <c r="S927" s="19">
        <f>[1]TOBEPAID!S706/1000</f>
        <v>0</v>
      </c>
      <c r="T927" s="19">
        <f>[1]TOBEPAID!T706/1000</f>
        <v>0</v>
      </c>
      <c r="U927" s="19">
        <f>[1]TOBEPAID!U706/1000</f>
        <v>0</v>
      </c>
      <c r="V927" s="19">
        <f>[1]TOBEPAID!V706/1000</f>
        <v>0</v>
      </c>
      <c r="W927" s="19">
        <f>[1]TOBEPAID!W706/1000</f>
        <v>0</v>
      </c>
      <c r="X927" s="19">
        <f>[1]TOBEPAID!X706/1000</f>
        <v>0</v>
      </c>
      <c r="Y927" s="19">
        <f t="shared" ref="Y927:Y933" si="170">+H927+R927</f>
        <v>28860.392</v>
      </c>
      <c r="Z927" s="19">
        <f t="shared" ref="Z927:Z933" si="171">+D927-Y927</f>
        <v>3397.8040000000001</v>
      </c>
      <c r="AA927" s="19">
        <f>[1]TOBEPAID!AA706/1000</f>
        <v>0</v>
      </c>
      <c r="AB927" s="19">
        <f>[1]TOBEPAID!AB706/1000</f>
        <v>10685.213609999999</v>
      </c>
      <c r="AC927" s="19"/>
      <c r="AD927" s="19"/>
    </row>
    <row r="928" spans="1:30" x14ac:dyDescent="0.2">
      <c r="A928" s="18"/>
      <c r="C928" s="20" t="s">
        <v>52</v>
      </c>
      <c r="D928" s="19">
        <f>1860315/1000</f>
        <v>1860.3150000000001</v>
      </c>
      <c r="E928" s="19">
        <f>[1]TOBEPAID!E707/1000</f>
        <v>1860.3150000000001</v>
      </c>
      <c r="F928" s="19">
        <f>[1]TOBEPAID!F707/1000</f>
        <v>0</v>
      </c>
      <c r="G928" s="19">
        <f>[1]TOBEPAID!G707/1000</f>
        <v>0</v>
      </c>
      <c r="H928" s="19">
        <f>1860315/1000</f>
        <v>1860.3150000000001</v>
      </c>
      <c r="I928" s="19">
        <f>[1]TOBEPAID!I707/1000</f>
        <v>0</v>
      </c>
      <c r="J928" s="19">
        <f>[1]TOBEPAID!J707/1000</f>
        <v>0</v>
      </c>
      <c r="K928" s="19">
        <f>[1]TOBEPAID!K707/1000</f>
        <v>0</v>
      </c>
      <c r="L928" s="19">
        <f>[1]TOBEPAID!L707/1000</f>
        <v>0</v>
      </c>
      <c r="M928" s="19">
        <f>[1]TOBEPAID!M707/1000</f>
        <v>0</v>
      </c>
      <c r="N928" s="19">
        <f>[1]TOBEPAID!N707/1000</f>
        <v>1860.3150000000001</v>
      </c>
      <c r="O928" s="19">
        <f>[1]TOBEPAID!O707/1000</f>
        <v>0</v>
      </c>
      <c r="P928" s="19">
        <f>[1]TOBEPAID!P707/1000</f>
        <v>0</v>
      </c>
      <c r="Q928" s="19">
        <f>[1]TOBEPAID!Q707/1000</f>
        <v>0</v>
      </c>
      <c r="R928" s="19">
        <v>0</v>
      </c>
      <c r="S928" s="19">
        <f>[1]TOBEPAID!S707/1000</f>
        <v>0</v>
      </c>
      <c r="T928" s="19">
        <f>[1]TOBEPAID!T707/1000</f>
        <v>0</v>
      </c>
      <c r="U928" s="19">
        <f>[1]TOBEPAID!U707/1000</f>
        <v>0</v>
      </c>
      <c r="V928" s="19">
        <f>[1]TOBEPAID!V707/1000</f>
        <v>0</v>
      </c>
      <c r="W928" s="19">
        <f>[1]TOBEPAID!W707/1000</f>
        <v>0</v>
      </c>
      <c r="X928" s="19">
        <f>[1]TOBEPAID!X707/1000</f>
        <v>0</v>
      </c>
      <c r="Y928" s="19">
        <f t="shared" si="170"/>
        <v>1860.3150000000001</v>
      </c>
      <c r="Z928" s="19">
        <f t="shared" si="171"/>
        <v>0</v>
      </c>
      <c r="AA928" s="19">
        <f>[1]TOBEPAID!AA707/1000</f>
        <v>1860.3150000000001</v>
      </c>
      <c r="AB928" s="19">
        <f>[1]TOBEPAID!AB707/1000</f>
        <v>0</v>
      </c>
      <c r="AC928" s="19"/>
      <c r="AD928" s="19"/>
    </row>
    <row r="929" spans="1:30" x14ac:dyDescent="0.2">
      <c r="A929" s="18"/>
      <c r="C929" s="3" t="s">
        <v>67</v>
      </c>
      <c r="D929" s="19">
        <f>199000000/1000</f>
        <v>199000</v>
      </c>
      <c r="E929" s="19"/>
      <c r="F929" s="19"/>
      <c r="G929" s="19"/>
      <c r="H929" s="19">
        <f>199000000/1000</f>
        <v>199000</v>
      </c>
      <c r="I929" s="19"/>
      <c r="J929" s="19"/>
      <c r="K929" s="19"/>
      <c r="L929" s="19"/>
      <c r="M929" s="19"/>
      <c r="N929" s="19"/>
      <c r="O929" s="19"/>
      <c r="P929" s="19"/>
      <c r="Q929" s="19"/>
      <c r="R929" s="19">
        <v>0</v>
      </c>
      <c r="S929" s="19"/>
      <c r="T929" s="19"/>
      <c r="U929" s="19"/>
      <c r="V929" s="19"/>
      <c r="W929" s="19"/>
      <c r="X929" s="19"/>
      <c r="Y929" s="19">
        <f t="shared" si="170"/>
        <v>199000</v>
      </c>
      <c r="Z929" s="19">
        <f t="shared" si="171"/>
        <v>0</v>
      </c>
      <c r="AA929" s="19"/>
      <c r="AB929" s="19"/>
      <c r="AC929" s="19"/>
      <c r="AD929" s="19"/>
    </row>
    <row r="930" spans="1:30" x14ac:dyDescent="0.2">
      <c r="A930" s="18"/>
      <c r="C930" s="3" t="s">
        <v>76</v>
      </c>
      <c r="D930" s="19">
        <f>12000000/1000</f>
        <v>12000</v>
      </c>
      <c r="E930" s="19"/>
      <c r="F930" s="19"/>
      <c r="G930" s="19"/>
      <c r="H930" s="19">
        <f>12000000/1000</f>
        <v>12000</v>
      </c>
      <c r="I930" s="19"/>
      <c r="J930" s="19"/>
      <c r="K930" s="19"/>
      <c r="L930" s="19"/>
      <c r="M930" s="19"/>
      <c r="N930" s="19"/>
      <c r="O930" s="19"/>
      <c r="P930" s="19"/>
      <c r="Q930" s="19"/>
      <c r="R930" s="19">
        <v>0</v>
      </c>
      <c r="S930" s="19"/>
      <c r="T930" s="19"/>
      <c r="U930" s="19"/>
      <c r="V930" s="19"/>
      <c r="W930" s="19"/>
      <c r="X930" s="19"/>
      <c r="Y930" s="19">
        <f t="shared" si="170"/>
        <v>12000</v>
      </c>
      <c r="Z930" s="19">
        <f t="shared" si="171"/>
        <v>0</v>
      </c>
      <c r="AA930" s="19"/>
      <c r="AB930" s="19"/>
      <c r="AC930" s="19"/>
      <c r="AD930" s="19"/>
    </row>
    <row r="931" spans="1:30" x14ac:dyDescent="0.2">
      <c r="C931" s="3" t="s">
        <v>288</v>
      </c>
      <c r="D931" s="19">
        <f>13000000/1000</f>
        <v>13000</v>
      </c>
      <c r="E931" s="19">
        <f>[1]TOBEPAID!E708/1000</f>
        <v>13000</v>
      </c>
      <c r="F931" s="19">
        <f>[1]TOBEPAID!F708/1000</f>
        <v>0</v>
      </c>
      <c r="G931" s="19">
        <f>[1]TOBEPAID!G708/1000</f>
        <v>0</v>
      </c>
      <c r="H931" s="19">
        <f>13000000/1000</f>
        <v>13000</v>
      </c>
      <c r="I931" s="19">
        <f>[1]TOBEPAID!I708/1000</f>
        <v>0</v>
      </c>
      <c r="J931" s="19">
        <f>[1]TOBEPAID!J708/1000</f>
        <v>0</v>
      </c>
      <c r="K931" s="19">
        <f>[1]TOBEPAID!K708/1000</f>
        <v>0</v>
      </c>
      <c r="L931" s="19">
        <f>[1]TOBEPAID!L708/1000</f>
        <v>0</v>
      </c>
      <c r="M931" s="19">
        <f>[1]TOBEPAID!M708/1000</f>
        <v>0</v>
      </c>
      <c r="N931" s="19">
        <f>[1]TOBEPAID!N708/1000</f>
        <v>13000</v>
      </c>
      <c r="O931" s="19">
        <f>[1]TOBEPAID!O708/1000</f>
        <v>0</v>
      </c>
      <c r="P931" s="19">
        <f>[1]TOBEPAID!P708/1000</f>
        <v>0</v>
      </c>
      <c r="Q931" s="19">
        <f>[1]TOBEPAID!Q708/1000</f>
        <v>0</v>
      </c>
      <c r="R931" s="19">
        <v>0</v>
      </c>
      <c r="S931" s="19">
        <f>[1]TOBEPAID!S708/1000</f>
        <v>0</v>
      </c>
      <c r="T931" s="19">
        <f>[1]TOBEPAID!T708/1000</f>
        <v>0</v>
      </c>
      <c r="U931" s="19">
        <f>[1]TOBEPAID!U708/1000</f>
        <v>0</v>
      </c>
      <c r="V931" s="19">
        <f>[1]TOBEPAID!V708/1000</f>
        <v>0</v>
      </c>
      <c r="W931" s="19">
        <f>[1]TOBEPAID!W708/1000</f>
        <v>0</v>
      </c>
      <c r="X931" s="19">
        <f>[1]TOBEPAID!X708/1000</f>
        <v>0</v>
      </c>
      <c r="Y931" s="19">
        <f t="shared" si="170"/>
        <v>13000</v>
      </c>
      <c r="Z931" s="19">
        <f t="shared" si="171"/>
        <v>0</v>
      </c>
      <c r="AA931" s="19">
        <f>[1]TOBEPAID!AA708/1000</f>
        <v>13000</v>
      </c>
      <c r="AB931" s="19">
        <f>[1]TOBEPAID!AB708/1000</f>
        <v>0</v>
      </c>
      <c r="AC931" s="19"/>
      <c r="AD931" s="19"/>
    </row>
    <row r="932" spans="1:30" x14ac:dyDescent="0.2">
      <c r="A932" s="18"/>
      <c r="C932" s="17" t="s">
        <v>54</v>
      </c>
      <c r="D932" s="19">
        <v>0</v>
      </c>
      <c r="E932" s="19">
        <f>[1]TOBEPAID!E709/1000</f>
        <v>0</v>
      </c>
      <c r="F932" s="19">
        <f>[1]TOBEPAID!F709/1000</f>
        <v>0</v>
      </c>
      <c r="G932" s="19">
        <f>[1]TOBEPAID!G709/1000</f>
        <v>0</v>
      </c>
      <c r="H932" s="19">
        <v>0</v>
      </c>
      <c r="I932" s="19">
        <f>[1]TOBEPAID!I709/1000</f>
        <v>0</v>
      </c>
      <c r="J932" s="19">
        <f>[1]TOBEPAID!J709/1000</f>
        <v>0</v>
      </c>
      <c r="K932" s="19">
        <f>[1]TOBEPAID!K709/1000</f>
        <v>0</v>
      </c>
      <c r="L932" s="19">
        <f>[1]TOBEPAID!L709/1000</f>
        <v>0</v>
      </c>
      <c r="M932" s="19">
        <f>[1]TOBEPAID!M709/1000</f>
        <v>0</v>
      </c>
      <c r="N932" s="19">
        <f>[1]TOBEPAID!N709/1000</f>
        <v>0</v>
      </c>
      <c r="O932" s="19">
        <f>[1]TOBEPAID!O709/1000</f>
        <v>0</v>
      </c>
      <c r="P932" s="19">
        <f>[1]TOBEPAID!P709/1000</f>
        <v>0</v>
      </c>
      <c r="Q932" s="19">
        <f>[1]TOBEPAID!Q709/1000</f>
        <v>0</v>
      </c>
      <c r="R932" s="19">
        <v>0</v>
      </c>
      <c r="S932" s="19">
        <f>[1]TOBEPAID!S709/1000</f>
        <v>0</v>
      </c>
      <c r="T932" s="19">
        <f>[1]TOBEPAID!T709/1000</f>
        <v>0</v>
      </c>
      <c r="U932" s="19">
        <f>[1]TOBEPAID!U709/1000</f>
        <v>0</v>
      </c>
      <c r="V932" s="19">
        <f>[1]TOBEPAID!V709/1000</f>
        <v>0</v>
      </c>
      <c r="W932" s="19">
        <f>[1]TOBEPAID!W709/1000</f>
        <v>0</v>
      </c>
      <c r="X932" s="19">
        <f>[1]TOBEPAID!X709/1000</f>
        <v>0</v>
      </c>
      <c r="Y932" s="19">
        <f t="shared" si="170"/>
        <v>0</v>
      </c>
      <c r="Z932" s="19">
        <f t="shared" si="171"/>
        <v>0</v>
      </c>
      <c r="AA932" s="19">
        <f>[1]TOBEPAID!AA709/1000</f>
        <v>0</v>
      </c>
      <c r="AB932" s="19">
        <f>[1]TOBEPAID!AB709/1000</f>
        <v>21381.87905</v>
      </c>
      <c r="AC932" s="19"/>
      <c r="AD932" s="19"/>
    </row>
    <row r="933" spans="1:30" x14ac:dyDescent="0.2">
      <c r="A933" s="18"/>
      <c r="C933" s="31" t="s">
        <v>56</v>
      </c>
      <c r="D933" s="19">
        <v>0</v>
      </c>
      <c r="E933" s="19">
        <f>[1]TOBEPAID!E710/1000</f>
        <v>0</v>
      </c>
      <c r="F933" s="19">
        <f>[1]TOBEPAID!F710/1000</f>
        <v>0</v>
      </c>
      <c r="G933" s="19">
        <f>[1]TOBEPAID!G710/1000</f>
        <v>0</v>
      </c>
      <c r="H933" s="19">
        <v>0</v>
      </c>
      <c r="I933" s="19">
        <f>[1]TOBEPAID!I710/1000</f>
        <v>0</v>
      </c>
      <c r="J933" s="19">
        <f>[1]TOBEPAID!J710/1000</f>
        <v>0</v>
      </c>
      <c r="K933" s="19">
        <f>[1]TOBEPAID!K710/1000</f>
        <v>0</v>
      </c>
      <c r="L933" s="19">
        <f>[1]TOBEPAID!L710/1000</f>
        <v>0</v>
      </c>
      <c r="M933" s="19">
        <f>[1]TOBEPAID!M710/1000</f>
        <v>0</v>
      </c>
      <c r="N933" s="19">
        <f>[1]TOBEPAID!N710/1000</f>
        <v>0</v>
      </c>
      <c r="O933" s="19">
        <f>[1]TOBEPAID!O710/1000</f>
        <v>0</v>
      </c>
      <c r="P933" s="19">
        <f>[1]TOBEPAID!P710/1000</f>
        <v>0</v>
      </c>
      <c r="Q933" s="19">
        <f>[1]TOBEPAID!Q710/1000</f>
        <v>0</v>
      </c>
      <c r="R933" s="19">
        <v>0</v>
      </c>
      <c r="S933" s="19">
        <f>[1]TOBEPAID!S710/1000</f>
        <v>0</v>
      </c>
      <c r="T933" s="19">
        <f>[1]TOBEPAID!T710/1000</f>
        <v>0</v>
      </c>
      <c r="U933" s="19">
        <f>[1]TOBEPAID!U710/1000</f>
        <v>0</v>
      </c>
      <c r="V933" s="19">
        <f>[1]TOBEPAID!V710/1000</f>
        <v>0</v>
      </c>
      <c r="W933" s="19">
        <f>[1]TOBEPAID!W710/1000</f>
        <v>0</v>
      </c>
      <c r="X933" s="19">
        <f>[1]TOBEPAID!X710/1000</f>
        <v>0</v>
      </c>
      <c r="Y933" s="19">
        <f t="shared" si="170"/>
        <v>0</v>
      </c>
      <c r="Z933" s="19">
        <f t="shared" si="171"/>
        <v>0</v>
      </c>
      <c r="AA933" s="19">
        <f>[1]TOBEPAID!AA710/1000</f>
        <v>0</v>
      </c>
      <c r="AB933" s="19">
        <f>[1]TOBEPAID!AB710/1000</f>
        <v>191.10427999999999</v>
      </c>
      <c r="AC933" s="19"/>
      <c r="AD933" s="19"/>
    </row>
    <row r="934" spans="1:30" x14ac:dyDescent="0.2">
      <c r="A934" s="18"/>
      <c r="D934" s="21" t="s">
        <v>57</v>
      </c>
      <c r="E934" s="21" t="s">
        <v>57</v>
      </c>
      <c r="F934" s="21" t="s">
        <v>57</v>
      </c>
      <c r="G934" s="21"/>
      <c r="H934" s="21" t="s">
        <v>57</v>
      </c>
      <c r="I934" s="21" t="s">
        <v>57</v>
      </c>
      <c r="J934" s="21" t="s">
        <v>57</v>
      </c>
      <c r="K934" s="21" t="s">
        <v>57</v>
      </c>
      <c r="L934" s="21" t="s">
        <v>57</v>
      </c>
      <c r="M934" s="21"/>
      <c r="N934" s="21" t="s">
        <v>57</v>
      </c>
      <c r="O934" s="21" t="s">
        <v>57</v>
      </c>
      <c r="P934" s="21" t="s">
        <v>57</v>
      </c>
      <c r="Q934" s="21"/>
      <c r="R934" s="21" t="s">
        <v>57</v>
      </c>
      <c r="S934" s="21" t="s">
        <v>57</v>
      </c>
      <c r="T934" s="21" t="s">
        <v>57</v>
      </c>
      <c r="U934" s="21" t="s">
        <v>57</v>
      </c>
      <c r="V934" s="21" t="s">
        <v>57</v>
      </c>
      <c r="W934" s="21"/>
      <c r="X934" s="21" t="s">
        <v>57</v>
      </c>
      <c r="Y934" s="21" t="s">
        <v>57</v>
      </c>
      <c r="Z934" s="21" t="s">
        <v>57</v>
      </c>
      <c r="AA934" s="21" t="s">
        <v>57</v>
      </c>
      <c r="AB934" s="21" t="s">
        <v>57</v>
      </c>
      <c r="AC934" s="21"/>
      <c r="AD934" s="21"/>
    </row>
    <row r="935" spans="1:30" x14ac:dyDescent="0.2">
      <c r="A935" s="18"/>
      <c r="B935" s="9"/>
      <c r="D935" s="19">
        <f>SUM(D927:D933)</f>
        <v>258118.511</v>
      </c>
      <c r="E935" s="19">
        <f>SUM(E927:E933)</f>
        <v>14860.315000000001</v>
      </c>
      <c r="F935" s="19">
        <f>SUM(F927:F933)</f>
        <v>0</v>
      </c>
      <c r="G935" s="19"/>
      <c r="H935" s="19">
        <f>SUM(H927:H933)</f>
        <v>254720.70699999999</v>
      </c>
      <c r="I935" s="19">
        <f>SUM(I927:I933)</f>
        <v>0</v>
      </c>
      <c r="J935" s="19">
        <f>SUM(J927:J933)</f>
        <v>0</v>
      </c>
      <c r="K935" s="19">
        <f>SUM(K927:K933)</f>
        <v>0</v>
      </c>
      <c r="L935" s="19">
        <f>SUM(L927:L933)</f>
        <v>0</v>
      </c>
      <c r="M935" s="19"/>
      <c r="N935" s="19">
        <f>SUM(N927:N933)</f>
        <v>14860.315000000001</v>
      </c>
      <c r="O935" s="19">
        <f>SUM(O927:O933)</f>
        <v>0</v>
      </c>
      <c r="P935" s="19">
        <f>SUM(P927:P933)</f>
        <v>0</v>
      </c>
      <c r="Q935" s="19"/>
      <c r="R935" s="19">
        <f>SUM(R927:R933)</f>
        <v>0</v>
      </c>
      <c r="S935" s="19">
        <f>SUM(S927:S933)</f>
        <v>0</v>
      </c>
      <c r="T935" s="19">
        <f>SUM(T927:T933)</f>
        <v>0</v>
      </c>
      <c r="U935" s="19">
        <f>SUM(U927:U933)</f>
        <v>0</v>
      </c>
      <c r="V935" s="19">
        <f>SUM(V927:V933)</f>
        <v>0</v>
      </c>
      <c r="W935" s="19"/>
      <c r="X935" s="19">
        <f>SUM(X927:X933)</f>
        <v>0</v>
      </c>
      <c r="Y935" s="19">
        <f>SUM(Y927:Y933)</f>
        <v>254720.70699999999</v>
      </c>
      <c r="Z935" s="19">
        <f>SUM(Z927:Z933)</f>
        <v>3397.8040000000001</v>
      </c>
      <c r="AA935" s="19">
        <f>SUM(AA927:AA933)</f>
        <v>14860.315000000001</v>
      </c>
      <c r="AB935" s="19">
        <f>SUM(AB927:AB933)</f>
        <v>32258.196939999998</v>
      </c>
      <c r="AC935" s="19"/>
      <c r="AD935" s="19"/>
    </row>
    <row r="936" spans="1:30" x14ac:dyDescent="0.2">
      <c r="A936" s="18"/>
      <c r="B936" s="3" t="s">
        <v>289</v>
      </c>
      <c r="D936" s="21" t="s">
        <v>57</v>
      </c>
      <c r="E936" s="21" t="s">
        <v>57</v>
      </c>
      <c r="F936" s="21" t="s">
        <v>57</v>
      </c>
      <c r="G936" s="21"/>
      <c r="H936" s="21" t="s">
        <v>57</v>
      </c>
      <c r="I936" s="21" t="s">
        <v>57</v>
      </c>
      <c r="J936" s="21" t="s">
        <v>57</v>
      </c>
      <c r="K936" s="21" t="s">
        <v>57</v>
      </c>
      <c r="L936" s="21" t="s">
        <v>57</v>
      </c>
      <c r="M936" s="21"/>
      <c r="N936" s="21" t="s">
        <v>57</v>
      </c>
      <c r="O936" s="21" t="s">
        <v>57</v>
      </c>
      <c r="P936" s="21" t="s">
        <v>57</v>
      </c>
      <c r="Q936" s="21"/>
      <c r="R936" s="21" t="s">
        <v>57</v>
      </c>
      <c r="S936" s="21" t="s">
        <v>57</v>
      </c>
      <c r="T936" s="21" t="s">
        <v>57</v>
      </c>
      <c r="U936" s="21" t="s">
        <v>57</v>
      </c>
      <c r="V936" s="21" t="s">
        <v>57</v>
      </c>
      <c r="W936" s="21"/>
      <c r="X936" s="21" t="s">
        <v>57</v>
      </c>
      <c r="Y936" s="21" t="s">
        <v>57</v>
      </c>
      <c r="Z936" s="21" t="s">
        <v>57</v>
      </c>
      <c r="AA936" s="21" t="s">
        <v>57</v>
      </c>
      <c r="AB936" s="21" t="s">
        <v>57</v>
      </c>
      <c r="AC936" s="21"/>
      <c r="AD936" s="21"/>
    </row>
    <row r="937" spans="1:30" ht="15.75" thickBot="1" x14ac:dyDescent="0.25">
      <c r="A937" s="18"/>
      <c r="B937" s="22" t="s">
        <v>58</v>
      </c>
      <c r="D937" s="23">
        <f>[1]TOBEPAID!D714/1000</f>
        <v>235.27199999999999</v>
      </c>
      <c r="E937" s="19">
        <f>[1]TOBEPAID!E714/1000</f>
        <v>0</v>
      </c>
      <c r="F937" s="19">
        <f>[1]TOBEPAID!F714/1000</f>
        <v>0</v>
      </c>
      <c r="G937" s="19">
        <f>[1]TOBEPAID!G714/1000</f>
        <v>0</v>
      </c>
      <c r="H937" s="19"/>
      <c r="I937" s="19">
        <f>[1]TOBEPAID!I714/1000</f>
        <v>0</v>
      </c>
      <c r="J937" s="19">
        <f>[1]TOBEPAID!J714/1000</f>
        <v>0</v>
      </c>
      <c r="K937" s="19">
        <f>[1]TOBEPAID!K714/1000</f>
        <v>0</v>
      </c>
      <c r="L937" s="19">
        <f>[1]TOBEPAID!L714/1000</f>
        <v>0</v>
      </c>
      <c r="M937" s="19">
        <f>[1]TOBEPAID!M714/1000</f>
        <v>0</v>
      </c>
      <c r="N937" s="19">
        <f>[1]TOBEPAID!N714/1000</f>
        <v>0</v>
      </c>
      <c r="O937" s="19">
        <f>[1]TOBEPAID!O714/1000</f>
        <v>235.27199999999999</v>
      </c>
      <c r="P937" s="19">
        <f>[1]TOBEPAID!P714/1000</f>
        <v>0</v>
      </c>
      <c r="Q937" s="19">
        <f>[1]TOBEPAID!Q714/1000</f>
        <v>0</v>
      </c>
      <c r="R937" s="23">
        <f>[1]TOBEPAID!R714/1000</f>
        <v>235.27199999999999</v>
      </c>
      <c r="S937" s="19">
        <f>[1]TOBEPAID!S714/1000</f>
        <v>0</v>
      </c>
      <c r="T937" s="19">
        <f>[1]TOBEPAID!T714/1000</f>
        <v>0</v>
      </c>
      <c r="U937" s="19">
        <f>[1]TOBEPAID!U714/1000</f>
        <v>0</v>
      </c>
      <c r="V937" s="19">
        <f>[1]TOBEPAID!V714/1000</f>
        <v>0</v>
      </c>
      <c r="W937" s="19">
        <f>[1]TOBEPAID!W714/1000</f>
        <v>0</v>
      </c>
      <c r="X937" s="19">
        <f>[1]TOBEPAID!X714/1000</f>
        <v>0</v>
      </c>
      <c r="Y937" s="23">
        <f>+H937+R937</f>
        <v>235.27199999999999</v>
      </c>
      <c r="Z937" s="23">
        <f>[1]TOBEPAID!Z714/1000</f>
        <v>0</v>
      </c>
      <c r="AA937" s="19">
        <f>[1]TOBEPAID!AA714/1000</f>
        <v>0</v>
      </c>
      <c r="AB937" s="19">
        <f>[1]TOBEPAID!AB714/1000</f>
        <v>0</v>
      </c>
      <c r="AC937" s="19"/>
      <c r="AD937" s="19"/>
    </row>
    <row r="938" spans="1:30" ht="15.75" thickTop="1" x14ac:dyDescent="0.2">
      <c r="A938" s="18">
        <v>71</v>
      </c>
      <c r="B938" s="31" t="s">
        <v>290</v>
      </c>
      <c r="C938" s="17" t="s">
        <v>51</v>
      </c>
      <c r="D938" s="19">
        <f>15863643/1000</f>
        <v>15863.643</v>
      </c>
      <c r="E938" s="19">
        <f>[1]TOBEPAID!E715/1000</f>
        <v>0</v>
      </c>
      <c r="F938" s="19">
        <f>[1]TOBEPAID!F715/1000</f>
        <v>0</v>
      </c>
      <c r="G938" s="19">
        <f>[1]TOBEPAID!G715/1000</f>
        <v>0</v>
      </c>
      <c r="H938" s="19">
        <f>15200000/1000</f>
        <v>15200</v>
      </c>
      <c r="I938" s="19">
        <f>[1]TOBEPAID!I715/1000</f>
        <v>0</v>
      </c>
      <c r="J938" s="19">
        <f>[1]TOBEPAID!J715/1000</f>
        <v>0</v>
      </c>
      <c r="K938" s="19">
        <f>[1]TOBEPAID!K715/1000</f>
        <v>0</v>
      </c>
      <c r="L938" s="19">
        <f>[1]TOBEPAID!L715/1000</f>
        <v>0</v>
      </c>
      <c r="M938" s="19">
        <f>[1]TOBEPAID!M715/1000</f>
        <v>0</v>
      </c>
      <c r="N938" s="19">
        <f>[1]TOBEPAID!N715/1000</f>
        <v>0</v>
      </c>
      <c r="O938" s="19">
        <f>[1]TOBEPAID!O715/1000</f>
        <v>115.7092</v>
      </c>
      <c r="P938" s="19">
        <f>[1]TOBEPAID!P715/1000</f>
        <v>0</v>
      </c>
      <c r="Q938" s="19">
        <f>[1]TOBEPAID!Q715/1000</f>
        <v>0</v>
      </c>
      <c r="R938" s="19">
        <f>115733.9/1000</f>
        <v>115.73389999999999</v>
      </c>
      <c r="S938" s="19">
        <f>[1]TOBEPAID!S715/1000</f>
        <v>0</v>
      </c>
      <c r="T938" s="19">
        <f>[1]TOBEPAID!T715/1000</f>
        <v>0</v>
      </c>
      <c r="U938" s="19">
        <f>[1]TOBEPAID!U715/1000</f>
        <v>0</v>
      </c>
      <c r="V938" s="19">
        <f>[1]TOBEPAID!V715/1000</f>
        <v>0</v>
      </c>
      <c r="W938" s="19">
        <f>[1]TOBEPAID!W715/1000</f>
        <v>0</v>
      </c>
      <c r="X938" s="19">
        <f>[1]TOBEPAID!X715/1000</f>
        <v>115.7092</v>
      </c>
      <c r="Y938" s="19">
        <f>+H938+R938</f>
        <v>15315.733899999999</v>
      </c>
      <c r="Z938" s="19">
        <f t="shared" ref="Z938:Z945" si="172">+D938-Y938</f>
        <v>547.90910000000076</v>
      </c>
      <c r="AA938" s="19">
        <f>[1]TOBEPAID!AA715/1000</f>
        <v>115.7092</v>
      </c>
      <c r="AB938" s="19">
        <f>[1]TOBEPAID!AB715/1000</f>
        <v>17723.614369999999</v>
      </c>
      <c r="AC938" s="19"/>
      <c r="AD938" s="19"/>
    </row>
    <row r="939" spans="1:30" x14ac:dyDescent="0.2">
      <c r="A939" s="18"/>
      <c r="B939" s="31"/>
      <c r="C939" s="17" t="s">
        <v>180</v>
      </c>
      <c r="D939" s="19">
        <f>96000000/1000</f>
        <v>96000</v>
      </c>
      <c r="E939" s="19"/>
      <c r="F939" s="19"/>
      <c r="G939" s="19"/>
      <c r="H939" s="19">
        <f>28552964/1000</f>
        <v>28552.964</v>
      </c>
      <c r="I939" s="19"/>
      <c r="J939" s="19"/>
      <c r="K939" s="19"/>
      <c r="L939" s="19"/>
      <c r="M939" s="19"/>
      <c r="N939" s="19"/>
      <c r="O939" s="19"/>
      <c r="P939" s="19"/>
      <c r="Q939" s="19"/>
      <c r="R939" s="19">
        <v>0</v>
      </c>
      <c r="S939" s="19"/>
      <c r="T939" s="19"/>
      <c r="U939" s="19"/>
      <c r="V939" s="19"/>
      <c r="W939" s="19"/>
      <c r="X939" s="19"/>
      <c r="Y939" s="19">
        <f t="shared" ref="Y939:Y945" si="173">+H939+R939</f>
        <v>28552.964</v>
      </c>
      <c r="Z939" s="19">
        <f t="shared" si="172"/>
        <v>67447.035999999993</v>
      </c>
      <c r="AA939" s="19"/>
      <c r="AB939" s="19"/>
      <c r="AC939" s="19"/>
      <c r="AD939" s="19"/>
    </row>
    <row r="940" spans="1:30" x14ac:dyDescent="0.2">
      <c r="A940" s="18"/>
      <c r="B940" s="31"/>
      <c r="C940" s="17" t="s">
        <v>66</v>
      </c>
      <c r="D940" s="19">
        <f>25000000/1000</f>
        <v>25000</v>
      </c>
      <c r="E940" s="19"/>
      <c r="F940" s="19"/>
      <c r="G940" s="19"/>
      <c r="H940" s="19">
        <f>10000000/1000</f>
        <v>10000</v>
      </c>
      <c r="I940" s="19"/>
      <c r="J940" s="19"/>
      <c r="K940" s="19"/>
      <c r="L940" s="19"/>
      <c r="M940" s="19"/>
      <c r="N940" s="19"/>
      <c r="O940" s="19"/>
      <c r="P940" s="19"/>
      <c r="Q940" s="19"/>
      <c r="R940" s="19">
        <v>0</v>
      </c>
      <c r="S940" s="19"/>
      <c r="T940" s="19"/>
      <c r="U940" s="19"/>
      <c r="V940" s="19"/>
      <c r="W940" s="19"/>
      <c r="X940" s="19"/>
      <c r="Y940" s="19">
        <f>+H940+R940</f>
        <v>10000</v>
      </c>
      <c r="Z940" s="19">
        <f>+D940-Y940</f>
        <v>15000</v>
      </c>
      <c r="AA940" s="19"/>
      <c r="AB940" s="19"/>
      <c r="AC940" s="19"/>
      <c r="AD940" s="19"/>
    </row>
    <row r="941" spans="1:30" x14ac:dyDescent="0.2">
      <c r="A941" s="18"/>
      <c r="B941" s="31"/>
      <c r="C941" s="20" t="s">
        <v>52</v>
      </c>
      <c r="D941" s="19">
        <f>2008032/1000</f>
        <v>2008.0319999999999</v>
      </c>
      <c r="E941" s="19">
        <f>[1]TOBEPAID!E716/1000</f>
        <v>2008.0319999999999</v>
      </c>
      <c r="F941" s="19">
        <f>[1]TOBEPAID!F716/1000</f>
        <v>0</v>
      </c>
      <c r="G941" s="19">
        <f>[1]TOBEPAID!G716/1000</f>
        <v>0</v>
      </c>
      <c r="H941" s="19">
        <f>2008032/1000</f>
        <v>2008.0319999999999</v>
      </c>
      <c r="I941" s="19">
        <f>[1]TOBEPAID!I716/1000</f>
        <v>0</v>
      </c>
      <c r="J941" s="19">
        <f>[1]TOBEPAID!J716/1000</f>
        <v>0</v>
      </c>
      <c r="K941" s="19">
        <f>[1]TOBEPAID!K716/1000</f>
        <v>0</v>
      </c>
      <c r="L941" s="19">
        <f>[1]TOBEPAID!L716/1000</f>
        <v>0</v>
      </c>
      <c r="M941" s="19">
        <f>[1]TOBEPAID!M716/1000</f>
        <v>0</v>
      </c>
      <c r="N941" s="19">
        <f>[1]TOBEPAID!N716/1000</f>
        <v>2008.0319999999999</v>
      </c>
      <c r="O941" s="19">
        <f>[1]TOBEPAID!O716/1000</f>
        <v>0</v>
      </c>
      <c r="P941" s="19">
        <f>[1]TOBEPAID!P716/1000</f>
        <v>0</v>
      </c>
      <c r="Q941" s="19">
        <f>[1]TOBEPAID!Q716/1000</f>
        <v>0</v>
      </c>
      <c r="R941" s="19">
        <v>0</v>
      </c>
      <c r="S941" s="19">
        <f>[1]TOBEPAID!S716/1000</f>
        <v>0</v>
      </c>
      <c r="T941" s="19">
        <f>[1]TOBEPAID!T716/1000</f>
        <v>0</v>
      </c>
      <c r="U941" s="19">
        <f>[1]TOBEPAID!U716/1000</f>
        <v>0</v>
      </c>
      <c r="V941" s="19">
        <f>[1]TOBEPAID!V716/1000</f>
        <v>0</v>
      </c>
      <c r="W941" s="19">
        <f>[1]TOBEPAID!W716/1000</f>
        <v>0</v>
      </c>
      <c r="X941" s="19">
        <f>[1]TOBEPAID!X716/1000</f>
        <v>0</v>
      </c>
      <c r="Y941" s="19">
        <f t="shared" si="173"/>
        <v>2008.0319999999999</v>
      </c>
      <c r="Z941" s="19">
        <f t="shared" si="172"/>
        <v>0</v>
      </c>
      <c r="AA941" s="19">
        <f>[1]TOBEPAID!AA716/1000</f>
        <v>2008.0319999999999</v>
      </c>
      <c r="AB941" s="19">
        <f>[1]TOBEPAID!AB716/1000</f>
        <v>0</v>
      </c>
      <c r="AC941" s="19"/>
      <c r="AD941" s="19"/>
    </row>
    <row r="942" spans="1:30" x14ac:dyDescent="0.2">
      <c r="C942" s="3" t="s">
        <v>62</v>
      </c>
      <c r="D942" s="19">
        <f>1500000/1000</f>
        <v>1500</v>
      </c>
      <c r="E942" s="19">
        <f>[1]TOBEPAID!E717/1000</f>
        <v>0</v>
      </c>
      <c r="F942" s="19">
        <f>[1]TOBEPAID!F717/1000</f>
        <v>1500</v>
      </c>
      <c r="G942" s="19">
        <f>[1]TOBEPAID!G717/1000</f>
        <v>0</v>
      </c>
      <c r="H942" s="19">
        <f>1500000/1000</f>
        <v>1500</v>
      </c>
      <c r="I942" s="19">
        <f>[1]TOBEPAID!I717/1000</f>
        <v>0</v>
      </c>
      <c r="J942" s="19">
        <f>[1]TOBEPAID!J717/1000</f>
        <v>0</v>
      </c>
      <c r="K942" s="19">
        <f>[1]TOBEPAID!K717/1000</f>
        <v>0</v>
      </c>
      <c r="L942" s="19">
        <f>[1]TOBEPAID!L717/1000</f>
        <v>0</v>
      </c>
      <c r="M942" s="19">
        <f>[1]TOBEPAID!M717/1000</f>
        <v>0</v>
      </c>
      <c r="N942" s="19">
        <f>[1]TOBEPAID!N717/1000</f>
        <v>1500</v>
      </c>
      <c r="O942" s="19">
        <f>[1]TOBEPAID!O717/1000</f>
        <v>0</v>
      </c>
      <c r="P942" s="19">
        <f>[1]TOBEPAID!P717/1000</f>
        <v>0</v>
      </c>
      <c r="Q942" s="19">
        <f>[1]TOBEPAID!Q717/1000</f>
        <v>0</v>
      </c>
      <c r="R942" s="19">
        <v>0</v>
      </c>
      <c r="S942" s="19">
        <f>[1]TOBEPAID!S717/1000</f>
        <v>0</v>
      </c>
      <c r="T942" s="19">
        <f>[1]TOBEPAID!T717/1000</f>
        <v>0</v>
      </c>
      <c r="U942" s="19">
        <f>[1]TOBEPAID!U717/1000</f>
        <v>0</v>
      </c>
      <c r="V942" s="19">
        <f>[1]TOBEPAID!V717/1000</f>
        <v>0</v>
      </c>
      <c r="W942" s="19">
        <f>[1]TOBEPAID!W717/1000</f>
        <v>0</v>
      </c>
      <c r="X942" s="19">
        <f>[1]TOBEPAID!X717/1000</f>
        <v>0</v>
      </c>
      <c r="Y942" s="19">
        <f t="shared" si="173"/>
        <v>1500</v>
      </c>
      <c r="Z942" s="19">
        <f t="shared" si="172"/>
        <v>0</v>
      </c>
      <c r="AA942" s="19">
        <f>[1]TOBEPAID!AA717/1000</f>
        <v>1500</v>
      </c>
      <c r="AB942" s="19">
        <f>[1]TOBEPAID!AB717/1000</f>
        <v>0</v>
      </c>
      <c r="AC942" s="19"/>
      <c r="AD942" s="19"/>
    </row>
    <row r="943" spans="1:30" x14ac:dyDescent="0.2">
      <c r="C943" s="3" t="s">
        <v>161</v>
      </c>
      <c r="D943" s="19">
        <f>1975680/1000</f>
        <v>1975.68</v>
      </c>
      <c r="E943" s="19"/>
      <c r="F943" s="19"/>
      <c r="G943" s="19"/>
      <c r="H943" s="19">
        <f>1975680/1000</f>
        <v>1975.68</v>
      </c>
      <c r="I943" s="19"/>
      <c r="J943" s="19"/>
      <c r="K943" s="19"/>
      <c r="L943" s="19"/>
      <c r="M943" s="19"/>
      <c r="N943" s="19"/>
      <c r="O943" s="19"/>
      <c r="P943" s="19"/>
      <c r="Q943" s="19"/>
      <c r="R943" s="19">
        <v>0</v>
      </c>
      <c r="S943" s="19"/>
      <c r="T943" s="19"/>
      <c r="U943" s="19"/>
      <c r="V943" s="19"/>
      <c r="W943" s="19"/>
      <c r="X943" s="19"/>
      <c r="Y943" s="19">
        <f t="shared" si="173"/>
        <v>1975.68</v>
      </c>
      <c r="Z943" s="19">
        <f t="shared" si="172"/>
        <v>0</v>
      </c>
      <c r="AA943" s="19"/>
      <c r="AB943" s="19"/>
      <c r="AC943" s="19"/>
      <c r="AD943" s="19"/>
    </row>
    <row r="944" spans="1:30" x14ac:dyDescent="0.2">
      <c r="A944" s="18"/>
      <c r="C944" s="17" t="s">
        <v>96</v>
      </c>
      <c r="D944" s="19">
        <v>0</v>
      </c>
      <c r="E944" s="19">
        <f>[1]TOBEPAID!E718/1000</f>
        <v>0</v>
      </c>
      <c r="F944" s="19">
        <f>[1]TOBEPAID!F718/1000</f>
        <v>0</v>
      </c>
      <c r="G944" s="19">
        <f>[1]TOBEPAID!G718/1000</f>
        <v>0</v>
      </c>
      <c r="H944" s="19">
        <v>0</v>
      </c>
      <c r="I944" s="19">
        <f>[1]TOBEPAID!I718/1000</f>
        <v>0</v>
      </c>
      <c r="J944" s="19">
        <f>[1]TOBEPAID!J718/1000</f>
        <v>0</v>
      </c>
      <c r="K944" s="19">
        <f>[1]TOBEPAID!K718/1000</f>
        <v>0</v>
      </c>
      <c r="L944" s="19">
        <f>[1]TOBEPAID!L718/1000</f>
        <v>0</v>
      </c>
      <c r="M944" s="19">
        <f>[1]TOBEPAID!M718/1000</f>
        <v>0</v>
      </c>
      <c r="N944" s="19">
        <f>[1]TOBEPAID!N718/1000</f>
        <v>0</v>
      </c>
      <c r="O944" s="19">
        <f>[1]TOBEPAID!O718/1000</f>
        <v>0</v>
      </c>
      <c r="P944" s="19">
        <f>[1]TOBEPAID!P718/1000</f>
        <v>0</v>
      </c>
      <c r="Q944" s="19">
        <f>[1]TOBEPAID!Q718/1000</f>
        <v>0</v>
      </c>
      <c r="R944" s="19">
        <v>0</v>
      </c>
      <c r="S944" s="19">
        <f>[1]TOBEPAID!S718/1000</f>
        <v>0</v>
      </c>
      <c r="T944" s="19">
        <f>[1]TOBEPAID!T718/1000</f>
        <v>0</v>
      </c>
      <c r="U944" s="19">
        <f>[1]TOBEPAID!U718/1000</f>
        <v>0</v>
      </c>
      <c r="V944" s="19">
        <f>[1]TOBEPAID!V718/1000</f>
        <v>0</v>
      </c>
      <c r="W944" s="19">
        <f>[1]TOBEPAID!W718/1000</f>
        <v>0</v>
      </c>
      <c r="X944" s="19">
        <f>[1]TOBEPAID!X718/1000</f>
        <v>0</v>
      </c>
      <c r="Y944" s="19">
        <f t="shared" si="173"/>
        <v>0</v>
      </c>
      <c r="Z944" s="19">
        <f t="shared" si="172"/>
        <v>0</v>
      </c>
      <c r="AA944" s="19">
        <f>[1]TOBEPAID!AA718/1000</f>
        <v>0</v>
      </c>
      <c r="AB944" s="19">
        <f>[1]TOBEPAID!AB718/1000</f>
        <v>0</v>
      </c>
      <c r="AC944" s="19"/>
      <c r="AD944" s="19"/>
    </row>
    <row r="945" spans="1:30" x14ac:dyDescent="0.2">
      <c r="A945" s="18"/>
      <c r="C945" s="17" t="s">
        <v>97</v>
      </c>
      <c r="D945" s="19">
        <f>802340/1000</f>
        <v>802.34</v>
      </c>
      <c r="E945" s="19">
        <f>[1]TOBEPAID!E719/1000</f>
        <v>0</v>
      </c>
      <c r="F945" s="19">
        <f>[1]TOBEPAID!F719/1000</f>
        <v>0</v>
      </c>
      <c r="G945" s="19">
        <f>[1]TOBEPAID!G719/1000</f>
        <v>0</v>
      </c>
      <c r="H945" s="19">
        <v>0</v>
      </c>
      <c r="I945" s="19">
        <f>[1]TOBEPAID!I719/1000</f>
        <v>0</v>
      </c>
      <c r="J945" s="19">
        <f>[1]TOBEPAID!J719/1000</f>
        <v>0</v>
      </c>
      <c r="K945" s="19">
        <f>[1]TOBEPAID!K719/1000</f>
        <v>0</v>
      </c>
      <c r="L945" s="19">
        <f>[1]TOBEPAID!L719/1000</f>
        <v>0</v>
      </c>
      <c r="M945" s="19">
        <f>[1]TOBEPAID!M719/1000</f>
        <v>0</v>
      </c>
      <c r="N945" s="19">
        <f>[1]TOBEPAID!N719/1000</f>
        <v>0</v>
      </c>
      <c r="O945" s="19">
        <f>[1]TOBEPAID!O719/1000</f>
        <v>0</v>
      </c>
      <c r="P945" s="19">
        <f>[1]TOBEPAID!P719/1000</f>
        <v>0</v>
      </c>
      <c r="Q945" s="19">
        <f>[1]TOBEPAID!Q719/1000</f>
        <v>0</v>
      </c>
      <c r="R945" s="19">
        <v>0</v>
      </c>
      <c r="S945" s="19">
        <f>[1]TOBEPAID!S719/1000</f>
        <v>0</v>
      </c>
      <c r="T945" s="19">
        <f>[1]TOBEPAID!T719/1000</f>
        <v>0</v>
      </c>
      <c r="U945" s="19">
        <f>[1]TOBEPAID!U719/1000</f>
        <v>0</v>
      </c>
      <c r="V945" s="19">
        <f>[1]TOBEPAID!V719/1000</f>
        <v>0</v>
      </c>
      <c r="W945" s="19">
        <f>[1]TOBEPAID!W719/1000</f>
        <v>0</v>
      </c>
      <c r="X945" s="19">
        <f>[1]TOBEPAID!X719/1000</f>
        <v>0</v>
      </c>
      <c r="Y945" s="19">
        <f t="shared" si="173"/>
        <v>0</v>
      </c>
      <c r="Z945" s="19">
        <f t="shared" si="172"/>
        <v>802.34</v>
      </c>
      <c r="AA945" s="19">
        <f>[1]TOBEPAID!AA719/1000</f>
        <v>0</v>
      </c>
      <c r="AB945" s="19">
        <f>[1]TOBEPAID!AB719/1000</f>
        <v>802.34088999999994</v>
      </c>
      <c r="AC945" s="19"/>
      <c r="AD945" s="19"/>
    </row>
    <row r="946" spans="1:30" x14ac:dyDescent="0.2">
      <c r="A946" s="18"/>
      <c r="D946" s="21" t="s">
        <v>57</v>
      </c>
      <c r="E946" s="21" t="s">
        <v>57</v>
      </c>
      <c r="F946" s="21" t="s">
        <v>57</v>
      </c>
      <c r="G946" s="21"/>
      <c r="H946" s="21" t="s">
        <v>57</v>
      </c>
      <c r="I946" s="21" t="s">
        <v>57</v>
      </c>
      <c r="J946" s="21" t="s">
        <v>57</v>
      </c>
      <c r="K946" s="21" t="s">
        <v>57</v>
      </c>
      <c r="L946" s="21" t="s">
        <v>57</v>
      </c>
      <c r="M946" s="21"/>
      <c r="N946" s="21" t="s">
        <v>57</v>
      </c>
      <c r="O946" s="21" t="s">
        <v>57</v>
      </c>
      <c r="P946" s="21" t="s">
        <v>57</v>
      </c>
      <c r="Q946" s="21"/>
      <c r="R946" s="21" t="s">
        <v>57</v>
      </c>
      <c r="S946" s="21" t="s">
        <v>57</v>
      </c>
      <c r="T946" s="21" t="s">
        <v>57</v>
      </c>
      <c r="U946" s="21" t="s">
        <v>57</v>
      </c>
      <c r="V946" s="21" t="s">
        <v>57</v>
      </c>
      <c r="W946" s="21"/>
      <c r="X946" s="21" t="s">
        <v>57</v>
      </c>
      <c r="Y946" s="21" t="s">
        <v>57</v>
      </c>
      <c r="Z946" s="21" t="s">
        <v>57</v>
      </c>
      <c r="AA946" s="21" t="s">
        <v>57</v>
      </c>
      <c r="AB946" s="21" t="s">
        <v>57</v>
      </c>
      <c r="AC946" s="21"/>
      <c r="AD946" s="21"/>
    </row>
    <row r="947" spans="1:30" x14ac:dyDescent="0.2">
      <c r="A947" s="18"/>
      <c r="D947" s="19">
        <f>SUM(D938:D945)</f>
        <v>143149.69499999998</v>
      </c>
      <c r="E947" s="19">
        <f>SUM(E938:E945)</f>
        <v>2008.0319999999999</v>
      </c>
      <c r="F947" s="19">
        <f>SUM(F938:F945)</f>
        <v>1500</v>
      </c>
      <c r="G947" s="19"/>
      <c r="H947" s="19">
        <f>SUM(H938:H945)</f>
        <v>59236.675999999999</v>
      </c>
      <c r="I947" s="19">
        <f>SUM(I938:I945)</f>
        <v>0</v>
      </c>
      <c r="J947" s="19">
        <f>SUM(J938:J945)</f>
        <v>0</v>
      </c>
      <c r="K947" s="19">
        <f>SUM(K938:K945)</f>
        <v>0</v>
      </c>
      <c r="L947" s="19">
        <f>SUM(L938:L945)</f>
        <v>0</v>
      </c>
      <c r="M947" s="19"/>
      <c r="N947" s="19">
        <f>SUM(N938:N945)</f>
        <v>3508.0320000000002</v>
      </c>
      <c r="O947" s="19">
        <f>SUM(O938:O945)</f>
        <v>115.7092</v>
      </c>
      <c r="P947" s="19">
        <f>SUM(P938:P945)</f>
        <v>0</v>
      </c>
      <c r="Q947" s="19"/>
      <c r="R947" s="19">
        <f>SUM(R938:R945)</f>
        <v>115.73389999999999</v>
      </c>
      <c r="S947" s="19">
        <f>SUM(S938:S945)</f>
        <v>0</v>
      </c>
      <c r="T947" s="19">
        <f>SUM(T938:T945)</f>
        <v>0</v>
      </c>
      <c r="U947" s="19">
        <f>SUM(U938:U945)</f>
        <v>0</v>
      </c>
      <c r="V947" s="19">
        <f>SUM(V938:V945)</f>
        <v>0</v>
      </c>
      <c r="W947" s="19"/>
      <c r="X947" s="19">
        <f>SUM(X938:X945)</f>
        <v>115.7092</v>
      </c>
      <c r="Y947" s="19">
        <f>SUM(Y938:Y945)</f>
        <v>59352.409899999999</v>
      </c>
      <c r="Z947" s="19">
        <f>SUM(Z938:Z945)</f>
        <v>83797.285099999994</v>
      </c>
      <c r="AA947" s="19">
        <f>SUM(AA938:AA945)</f>
        <v>3623.7411999999999</v>
      </c>
      <c r="AB947" s="19">
        <f>SUM(AB938:AB945)</f>
        <v>18525.955259999999</v>
      </c>
      <c r="AC947" s="19"/>
      <c r="AD947" s="19"/>
    </row>
    <row r="948" spans="1:30" x14ac:dyDescent="0.2">
      <c r="A948" s="18"/>
      <c r="B948" s="9"/>
      <c r="D948" s="21" t="s">
        <v>57</v>
      </c>
      <c r="E948" s="21" t="s">
        <v>57</v>
      </c>
      <c r="F948" s="21" t="s">
        <v>57</v>
      </c>
      <c r="G948" s="21"/>
      <c r="H948" s="21" t="s">
        <v>57</v>
      </c>
      <c r="I948" s="21" t="s">
        <v>57</v>
      </c>
      <c r="J948" s="21" t="s">
        <v>57</v>
      </c>
      <c r="K948" s="21" t="s">
        <v>57</v>
      </c>
      <c r="L948" s="21" t="s">
        <v>57</v>
      </c>
      <c r="M948" s="21"/>
      <c r="N948" s="21" t="s">
        <v>57</v>
      </c>
      <c r="O948" s="21" t="s">
        <v>57</v>
      </c>
      <c r="P948" s="21" t="s">
        <v>57</v>
      </c>
      <c r="Q948" s="21"/>
      <c r="R948" s="21" t="s">
        <v>57</v>
      </c>
      <c r="S948" s="21" t="s">
        <v>57</v>
      </c>
      <c r="T948" s="21" t="s">
        <v>57</v>
      </c>
      <c r="U948" s="21" t="s">
        <v>57</v>
      </c>
      <c r="V948" s="21" t="s">
        <v>57</v>
      </c>
      <c r="W948" s="21"/>
      <c r="X948" s="21" t="s">
        <v>57</v>
      </c>
      <c r="Y948" s="21" t="s">
        <v>57</v>
      </c>
      <c r="Z948" s="21" t="s">
        <v>57</v>
      </c>
      <c r="AA948" s="21" t="s">
        <v>57</v>
      </c>
      <c r="AB948" s="21" t="s">
        <v>57</v>
      </c>
      <c r="AC948" s="21"/>
      <c r="AD948" s="21"/>
    </row>
    <row r="949" spans="1:30" x14ac:dyDescent="0.2">
      <c r="A949" s="18"/>
      <c r="B949" s="9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62"/>
      <c r="R949" s="21"/>
      <c r="S949" s="21"/>
      <c r="T949" s="21"/>
      <c r="U949" s="21"/>
      <c r="V949" s="30"/>
      <c r="W949" s="21"/>
      <c r="X949" s="21"/>
      <c r="Y949" s="21"/>
      <c r="Z949" s="21"/>
      <c r="AA949" s="21"/>
      <c r="AB949" s="21"/>
      <c r="AC949" s="21"/>
      <c r="AD949" s="21"/>
    </row>
    <row r="950" spans="1:30" x14ac:dyDescent="0.2">
      <c r="A950" s="18"/>
      <c r="B950" s="9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1:30" x14ac:dyDescent="0.2">
      <c r="A951" s="18">
        <v>72</v>
      </c>
      <c r="B951" s="31" t="s">
        <v>291</v>
      </c>
      <c r="C951" s="20" t="s">
        <v>51</v>
      </c>
      <c r="D951" s="19">
        <v>0</v>
      </c>
      <c r="E951" s="19">
        <f>[1]TOBEPAID!E726/1000</f>
        <v>0</v>
      </c>
      <c r="F951" s="19">
        <f>[1]TOBEPAID!F726/1000</f>
        <v>0</v>
      </c>
      <c r="G951" s="19">
        <f>[1]TOBEPAID!G726/1000</f>
        <v>0</v>
      </c>
      <c r="H951" s="19">
        <v>0</v>
      </c>
      <c r="I951" s="19">
        <f>[1]TOBEPAID!I726/1000</f>
        <v>0</v>
      </c>
      <c r="J951" s="19">
        <f>[1]TOBEPAID!J726/1000</f>
        <v>0</v>
      </c>
      <c r="K951" s="19">
        <f>[1]TOBEPAID!K726/1000</f>
        <v>0</v>
      </c>
      <c r="L951" s="19">
        <f>[1]TOBEPAID!L726/1000</f>
        <v>0</v>
      </c>
      <c r="M951" s="19">
        <f>[1]TOBEPAID!M726/1000</f>
        <v>0</v>
      </c>
      <c r="N951" s="19">
        <f>[1]TOBEPAID!N726/1000</f>
        <v>0</v>
      </c>
      <c r="O951" s="19">
        <f>[1]TOBEPAID!O726/1000</f>
        <v>0</v>
      </c>
      <c r="P951" s="19">
        <f>[1]TOBEPAID!P726/1000</f>
        <v>0</v>
      </c>
      <c r="Q951" s="19">
        <f>[1]TOBEPAID!Q726/1000</f>
        <v>0</v>
      </c>
      <c r="R951" s="19">
        <v>0</v>
      </c>
      <c r="S951" s="19">
        <f>[1]TOBEPAID!S726/1000</f>
        <v>0</v>
      </c>
      <c r="T951" s="19">
        <f>[1]TOBEPAID!T726/1000</f>
        <v>0</v>
      </c>
      <c r="U951" s="19">
        <f>[1]TOBEPAID!U726/1000</f>
        <v>0</v>
      </c>
      <c r="V951" s="19">
        <f>[1]TOBEPAID!V726/1000</f>
        <v>0</v>
      </c>
      <c r="W951" s="19">
        <f>[1]TOBEPAID!W726/1000</f>
        <v>0</v>
      </c>
      <c r="X951" s="19">
        <f>[1]TOBEPAID!X726/1000</f>
        <v>0</v>
      </c>
      <c r="Y951" s="19">
        <f>+H951+R951</f>
        <v>0</v>
      </c>
      <c r="Z951" s="19">
        <f>+D951-Y951</f>
        <v>0</v>
      </c>
      <c r="AA951" s="19">
        <f>[1]TOBEPAID!AA726/1000</f>
        <v>0</v>
      </c>
      <c r="AB951" s="19">
        <f>[1]TOBEPAID!AB726/1000</f>
        <v>0</v>
      </c>
      <c r="AC951" s="19"/>
      <c r="AD951" s="19"/>
    </row>
    <row r="952" spans="1:30" x14ac:dyDescent="0.2">
      <c r="A952" s="18"/>
      <c r="C952" s="20" t="s">
        <v>52</v>
      </c>
      <c r="D952" s="19">
        <f>140000/1000</f>
        <v>140</v>
      </c>
      <c r="E952" s="19">
        <f>[1]TOBEPAID!E727/1000</f>
        <v>140</v>
      </c>
      <c r="F952" s="19">
        <f>[1]TOBEPAID!F727/1000</f>
        <v>0</v>
      </c>
      <c r="G952" s="19">
        <f>[1]TOBEPAID!G727/1000</f>
        <v>0</v>
      </c>
      <c r="H952" s="19">
        <f>140000/1000</f>
        <v>140</v>
      </c>
      <c r="I952" s="19">
        <f>[1]TOBEPAID!I727/1000</f>
        <v>0</v>
      </c>
      <c r="J952" s="19">
        <f>[1]TOBEPAID!J727/1000</f>
        <v>0</v>
      </c>
      <c r="K952" s="19">
        <f>[1]TOBEPAID!K727/1000</f>
        <v>0</v>
      </c>
      <c r="L952" s="19">
        <f>[1]TOBEPAID!L727/1000</f>
        <v>0</v>
      </c>
      <c r="M952" s="19">
        <f>[1]TOBEPAID!M727/1000</f>
        <v>0</v>
      </c>
      <c r="N952" s="19">
        <f>[1]TOBEPAID!N727/1000</f>
        <v>140</v>
      </c>
      <c r="O952" s="19">
        <f>[1]TOBEPAID!O727/1000</f>
        <v>0</v>
      </c>
      <c r="P952" s="19">
        <f>[1]TOBEPAID!P727/1000</f>
        <v>0</v>
      </c>
      <c r="Q952" s="19">
        <f>[1]TOBEPAID!Q727/1000</f>
        <v>0</v>
      </c>
      <c r="R952" s="19">
        <v>0</v>
      </c>
      <c r="S952" s="19">
        <f>[1]TOBEPAID!S727/1000</f>
        <v>0</v>
      </c>
      <c r="T952" s="19">
        <f>[1]TOBEPAID!T727/1000</f>
        <v>0</v>
      </c>
      <c r="U952" s="19">
        <f>[1]TOBEPAID!U727/1000</f>
        <v>0</v>
      </c>
      <c r="V952" s="19">
        <f>[1]TOBEPAID!V727/1000</f>
        <v>0</v>
      </c>
      <c r="W952" s="19">
        <f>[1]TOBEPAID!W727/1000</f>
        <v>0</v>
      </c>
      <c r="X952" s="19">
        <f>[1]TOBEPAID!X727/1000</f>
        <v>0</v>
      </c>
      <c r="Y952" s="19">
        <f>+H952+R952</f>
        <v>140</v>
      </c>
      <c r="Z952" s="19">
        <f>+D952-Y952</f>
        <v>0</v>
      </c>
      <c r="AA952" s="19">
        <f>[1]TOBEPAID!AA727/1000</f>
        <v>140</v>
      </c>
      <c r="AB952" s="19">
        <f>[1]TOBEPAID!AB727/1000</f>
        <v>0</v>
      </c>
      <c r="AC952" s="19"/>
      <c r="AD952" s="19"/>
    </row>
    <row r="953" spans="1:30" x14ac:dyDescent="0.2">
      <c r="A953" s="18"/>
      <c r="C953" s="20" t="s">
        <v>200</v>
      </c>
      <c r="D953" s="19">
        <v>0</v>
      </c>
      <c r="E953" s="19">
        <f>[1]TOBEPAID!E728/1000</f>
        <v>0</v>
      </c>
      <c r="F953" s="19">
        <f>[1]TOBEPAID!F728/1000</f>
        <v>0</v>
      </c>
      <c r="G953" s="19">
        <f>[1]TOBEPAID!G728/1000</f>
        <v>0</v>
      </c>
      <c r="H953" s="19">
        <v>0</v>
      </c>
      <c r="I953" s="19">
        <f>[1]TOBEPAID!I728/1000</f>
        <v>0</v>
      </c>
      <c r="J953" s="19">
        <f>[1]TOBEPAID!J728/1000</f>
        <v>0</v>
      </c>
      <c r="K953" s="19">
        <f>[1]TOBEPAID!K728/1000</f>
        <v>0</v>
      </c>
      <c r="L953" s="19">
        <f>[1]TOBEPAID!L728/1000</f>
        <v>0</v>
      </c>
      <c r="M953" s="19">
        <f>[1]TOBEPAID!M728/1000</f>
        <v>0</v>
      </c>
      <c r="N953" s="19">
        <f>[1]TOBEPAID!N728/1000</f>
        <v>0</v>
      </c>
      <c r="O953" s="19">
        <f>[1]TOBEPAID!O728/1000</f>
        <v>0</v>
      </c>
      <c r="P953" s="19">
        <f>[1]TOBEPAID!P728/1000</f>
        <v>0</v>
      </c>
      <c r="Q953" s="19">
        <f>[1]TOBEPAID!Q728/1000</f>
        <v>0</v>
      </c>
      <c r="R953" s="19">
        <v>0</v>
      </c>
      <c r="S953" s="19">
        <f>[1]TOBEPAID!S728/1000</f>
        <v>0</v>
      </c>
      <c r="T953" s="19">
        <f>[1]TOBEPAID!T728/1000</f>
        <v>0</v>
      </c>
      <c r="U953" s="19">
        <f>[1]TOBEPAID!U728/1000</f>
        <v>0</v>
      </c>
      <c r="V953" s="19">
        <f>[1]TOBEPAID!V728/1000</f>
        <v>0</v>
      </c>
      <c r="W953" s="19">
        <f>[1]TOBEPAID!W728/1000</f>
        <v>0</v>
      </c>
      <c r="X953" s="19">
        <f>[1]TOBEPAID!X728/1000</f>
        <v>0</v>
      </c>
      <c r="Y953" s="19">
        <f>+H953+R953</f>
        <v>0</v>
      </c>
      <c r="Z953" s="19">
        <f>+D953-Y953</f>
        <v>0</v>
      </c>
      <c r="AA953" s="19">
        <f>[1]TOBEPAID!AA728/1000</f>
        <v>0</v>
      </c>
      <c r="AB953" s="19">
        <f>[1]TOBEPAID!AB728/1000</f>
        <v>0</v>
      </c>
      <c r="AC953" s="19"/>
      <c r="AD953" s="19"/>
    </row>
    <row r="954" spans="1:30" x14ac:dyDescent="0.2">
      <c r="A954" s="18"/>
      <c r="D954" s="21" t="s">
        <v>57</v>
      </c>
      <c r="E954" s="21" t="s">
        <v>57</v>
      </c>
      <c r="F954" s="21" t="s">
        <v>57</v>
      </c>
      <c r="G954" s="21"/>
      <c r="H954" s="21" t="s">
        <v>57</v>
      </c>
      <c r="I954" s="21" t="s">
        <v>57</v>
      </c>
      <c r="J954" s="21" t="s">
        <v>57</v>
      </c>
      <c r="K954" s="21" t="s">
        <v>57</v>
      </c>
      <c r="L954" s="21" t="s">
        <v>57</v>
      </c>
      <c r="M954" s="21"/>
      <c r="N954" s="21" t="s">
        <v>57</v>
      </c>
      <c r="O954" s="21" t="s">
        <v>57</v>
      </c>
      <c r="P954" s="21" t="s">
        <v>57</v>
      </c>
      <c r="Q954" s="21"/>
      <c r="R954" s="21" t="s">
        <v>57</v>
      </c>
      <c r="S954" s="21" t="s">
        <v>57</v>
      </c>
      <c r="T954" s="21" t="s">
        <v>57</v>
      </c>
      <c r="U954" s="21" t="s">
        <v>57</v>
      </c>
      <c r="V954" s="21" t="s">
        <v>57</v>
      </c>
      <c r="W954" s="21"/>
      <c r="X954" s="21" t="s">
        <v>57</v>
      </c>
      <c r="Y954" s="21" t="s">
        <v>57</v>
      </c>
      <c r="Z954" s="21" t="s">
        <v>57</v>
      </c>
      <c r="AA954" s="21" t="s">
        <v>57</v>
      </c>
      <c r="AB954" s="21" t="s">
        <v>57</v>
      </c>
      <c r="AC954" s="21"/>
      <c r="AD954" s="21"/>
    </row>
    <row r="955" spans="1:30" x14ac:dyDescent="0.2">
      <c r="A955" s="18"/>
      <c r="D955" s="19">
        <f>SUM(D951:D953)</f>
        <v>140</v>
      </c>
      <c r="E955" s="19">
        <f>SUM(E951:E953)</f>
        <v>140</v>
      </c>
      <c r="F955" s="19">
        <f>SUM(F951:F953)</f>
        <v>0</v>
      </c>
      <c r="G955" s="19"/>
      <c r="H955" s="19">
        <f>SUM(H951:H953)</f>
        <v>140</v>
      </c>
      <c r="I955" s="19">
        <f>SUM(I951:I953)</f>
        <v>0</v>
      </c>
      <c r="J955" s="19">
        <f>SUM(J951:J953)</f>
        <v>0</v>
      </c>
      <c r="K955" s="19">
        <f>SUM(K951:K953)</f>
        <v>0</v>
      </c>
      <c r="L955" s="19">
        <f>SUM(L951:L953)</f>
        <v>0</v>
      </c>
      <c r="M955" s="19"/>
      <c r="N955" s="19">
        <f>SUM(N951:N953)</f>
        <v>140</v>
      </c>
      <c r="O955" s="19">
        <f>SUM(O951:O953)</f>
        <v>0</v>
      </c>
      <c r="P955" s="19">
        <f>SUM(P951:P953)</f>
        <v>0</v>
      </c>
      <c r="Q955" s="19"/>
      <c r="R955" s="19">
        <f>SUM(R951:R953)</f>
        <v>0</v>
      </c>
      <c r="S955" s="19">
        <f>SUM(S951:S953)</f>
        <v>0</v>
      </c>
      <c r="T955" s="19">
        <f>SUM(T951:T953)</f>
        <v>0</v>
      </c>
      <c r="U955" s="19">
        <f>SUM(U951:U953)</f>
        <v>0</v>
      </c>
      <c r="V955" s="19">
        <f>SUM(V951:V953)</f>
        <v>0</v>
      </c>
      <c r="W955" s="19"/>
      <c r="X955" s="19">
        <f>SUM(X951:X953)</f>
        <v>0</v>
      </c>
      <c r="Y955" s="19">
        <f>SUM(Y951:Y953)</f>
        <v>140</v>
      </c>
      <c r="Z955" s="19">
        <f>SUM(Z951:Z953)</f>
        <v>0</v>
      </c>
      <c r="AA955" s="19">
        <f>SUM(AA951:AA953)</f>
        <v>140</v>
      </c>
      <c r="AB955" s="19">
        <f>SUM(AB951:AB953)</f>
        <v>0</v>
      </c>
      <c r="AC955" s="19"/>
      <c r="AD955" s="19"/>
    </row>
    <row r="956" spans="1:30" x14ac:dyDescent="0.2">
      <c r="A956" s="18"/>
      <c r="B956" s="3" t="s">
        <v>291</v>
      </c>
      <c r="D956" s="21" t="s">
        <v>57</v>
      </c>
      <c r="E956" s="21" t="s">
        <v>57</v>
      </c>
      <c r="F956" s="21" t="s">
        <v>57</v>
      </c>
      <c r="G956" s="21"/>
      <c r="H956" s="21" t="s">
        <v>57</v>
      </c>
      <c r="I956" s="21" t="s">
        <v>57</v>
      </c>
      <c r="J956" s="21" t="s">
        <v>57</v>
      </c>
      <c r="K956" s="21" t="s">
        <v>57</v>
      </c>
      <c r="L956" s="21" t="s">
        <v>57</v>
      </c>
      <c r="M956" s="21"/>
      <c r="N956" s="21" t="s">
        <v>57</v>
      </c>
      <c r="O956" s="21" t="s">
        <v>57</v>
      </c>
      <c r="P956" s="21" t="s">
        <v>57</v>
      </c>
      <c r="Q956" s="21"/>
      <c r="R956" s="21" t="s">
        <v>57</v>
      </c>
      <c r="S956" s="21" t="s">
        <v>57</v>
      </c>
      <c r="T956" s="21" t="s">
        <v>57</v>
      </c>
      <c r="U956" s="21" t="s">
        <v>57</v>
      </c>
      <c r="V956" s="21" t="s">
        <v>57</v>
      </c>
      <c r="W956" s="21"/>
      <c r="X956" s="21" t="s">
        <v>57</v>
      </c>
      <c r="Y956" s="21" t="s">
        <v>57</v>
      </c>
      <c r="Z956" s="21" t="s">
        <v>57</v>
      </c>
      <c r="AA956" s="21" t="s">
        <v>57</v>
      </c>
      <c r="AB956" s="21" t="s">
        <v>57</v>
      </c>
      <c r="AC956" s="21"/>
      <c r="AD956" s="21"/>
    </row>
    <row r="957" spans="1:30" ht="15.75" thickBot="1" x14ac:dyDescent="0.25">
      <c r="A957" s="18"/>
      <c r="B957" s="22" t="s">
        <v>58</v>
      </c>
      <c r="D957" s="23">
        <f>[1]TOBEPAID!D732/1000</f>
        <v>2746.93417</v>
      </c>
      <c r="E957" s="19">
        <f>[1]TOBEPAID!E732/1000</f>
        <v>0</v>
      </c>
      <c r="F957" s="19">
        <f>[1]TOBEPAID!F732/1000</f>
        <v>0</v>
      </c>
      <c r="G957" s="19">
        <f>[1]TOBEPAID!G732/1000</f>
        <v>0</v>
      </c>
      <c r="H957" s="19"/>
      <c r="I957" s="19">
        <f>[1]TOBEPAID!I732/1000</f>
        <v>0</v>
      </c>
      <c r="J957" s="19">
        <f>[1]TOBEPAID!J732/1000</f>
        <v>0</v>
      </c>
      <c r="K957" s="19">
        <f>[1]TOBEPAID!K732/1000</f>
        <v>0</v>
      </c>
      <c r="L957" s="19">
        <f>[1]TOBEPAID!L732/1000</f>
        <v>0</v>
      </c>
      <c r="M957" s="19">
        <f>[1]TOBEPAID!M732/1000</f>
        <v>0</v>
      </c>
      <c r="N957" s="19">
        <f>[1]TOBEPAID!N732/1000</f>
        <v>0</v>
      </c>
      <c r="O957" s="19">
        <f>[1]TOBEPAID!O732/1000</f>
        <v>2746.93417</v>
      </c>
      <c r="P957" s="19">
        <f>[1]TOBEPAID!P732/1000</f>
        <v>0</v>
      </c>
      <c r="Q957" s="19">
        <f>[1]TOBEPAID!Q732/1000</f>
        <v>0</v>
      </c>
      <c r="R957" s="23">
        <f>[1]TOBEPAID!R732/1000</f>
        <v>2746.93417</v>
      </c>
      <c r="S957" s="19">
        <f>[1]TOBEPAID!S732/1000</f>
        <v>0</v>
      </c>
      <c r="T957" s="19">
        <f>[1]TOBEPAID!T732/1000</f>
        <v>0</v>
      </c>
      <c r="U957" s="19">
        <f>[1]TOBEPAID!U732/1000</f>
        <v>0</v>
      </c>
      <c r="V957" s="19">
        <f>[1]TOBEPAID!V732/1000</f>
        <v>0</v>
      </c>
      <c r="W957" s="19">
        <f>[1]TOBEPAID!W732/1000</f>
        <v>0</v>
      </c>
      <c r="X957" s="19">
        <f>[1]TOBEPAID!X732/1000</f>
        <v>0</v>
      </c>
      <c r="Y957" s="23">
        <f>+H957+R957</f>
        <v>2746.93417</v>
      </c>
      <c r="Z957" s="23">
        <f>[1]TOBEPAID!Z732/1000</f>
        <v>0</v>
      </c>
      <c r="AA957" s="19">
        <f>[1]TOBEPAID!AA732/1000</f>
        <v>0</v>
      </c>
      <c r="AB957" s="19">
        <f>[1]TOBEPAID!AB732/1000</f>
        <v>0</v>
      </c>
      <c r="AC957" s="19"/>
      <c r="AD957" s="19"/>
    </row>
    <row r="958" spans="1:30" ht="15.75" thickTop="1" x14ac:dyDescent="0.2">
      <c r="A958" s="18">
        <v>73</v>
      </c>
      <c r="B958" s="17" t="s">
        <v>292</v>
      </c>
      <c r="C958" s="17" t="s">
        <v>51</v>
      </c>
      <c r="D958" s="19">
        <f>5748334.05/1000</f>
        <v>5748.3340499999995</v>
      </c>
      <c r="E958" s="19">
        <f>[1]TOBEPAID!E733/1000</f>
        <v>0</v>
      </c>
      <c r="F958" s="19">
        <f>[1]TOBEPAID!F733/1000</f>
        <v>0</v>
      </c>
      <c r="G958" s="19">
        <f>[1]TOBEPAID!G733/1000</f>
        <v>0</v>
      </c>
      <c r="H958" s="19">
        <v>0</v>
      </c>
      <c r="I958" s="19">
        <f>[1]TOBEPAID!I733/1000</f>
        <v>0</v>
      </c>
      <c r="J958" s="19">
        <f>[1]TOBEPAID!J733/1000</f>
        <v>0</v>
      </c>
      <c r="K958" s="19">
        <f>[1]TOBEPAID!K733/1000</f>
        <v>0</v>
      </c>
      <c r="L958" s="19">
        <f>[1]TOBEPAID!L733/1000</f>
        <v>0</v>
      </c>
      <c r="M958" s="19">
        <f>[1]TOBEPAID!M733/1000</f>
        <v>0</v>
      </c>
      <c r="N958" s="19">
        <f>[1]TOBEPAID!N733/1000</f>
        <v>0</v>
      </c>
      <c r="O958" s="19">
        <f>[1]TOBEPAID!O733/1000</f>
        <v>0</v>
      </c>
      <c r="P958" s="19">
        <f>[1]TOBEPAID!P733/1000</f>
        <v>0</v>
      </c>
      <c r="Q958" s="19">
        <f>[1]TOBEPAID!Q733/1000</f>
        <v>0</v>
      </c>
      <c r="R958" s="19">
        <f>[1]TOBEPAID!R733/1000</f>
        <v>0</v>
      </c>
      <c r="S958" s="19">
        <f>[1]TOBEPAID!S733/1000</f>
        <v>0</v>
      </c>
      <c r="T958" s="19">
        <f>[1]TOBEPAID!T733/1000</f>
        <v>0</v>
      </c>
      <c r="U958" s="19">
        <f>[1]TOBEPAID!U733/1000</f>
        <v>0</v>
      </c>
      <c r="V958" s="19">
        <f>[1]TOBEPAID!V733/1000</f>
        <v>0</v>
      </c>
      <c r="W958" s="19">
        <f>[1]TOBEPAID!W733/1000</f>
        <v>0</v>
      </c>
      <c r="X958" s="19">
        <f>[1]TOBEPAID!X733/1000</f>
        <v>0</v>
      </c>
      <c r="Y958" s="19">
        <f>[1]TOBEPAID!Y733/1000</f>
        <v>0</v>
      </c>
      <c r="Z958" s="19">
        <f>+D958-Y958</f>
        <v>5748.3340499999995</v>
      </c>
      <c r="AA958" s="19">
        <f>[1]TOBEPAID!AA733/1000</f>
        <v>0</v>
      </c>
      <c r="AB958" s="19">
        <f>[1]TOBEPAID!AB733/1000</f>
        <v>13919.821320000001</v>
      </c>
      <c r="AC958" s="19"/>
      <c r="AD958" s="19"/>
    </row>
    <row r="959" spans="1:30" x14ac:dyDescent="0.2">
      <c r="A959" s="18"/>
      <c r="C959" s="20" t="s">
        <v>52</v>
      </c>
      <c r="D959" s="19">
        <f>4425684/1000</f>
        <v>4425.6840000000002</v>
      </c>
      <c r="E959" s="19">
        <f>[1]TOBEPAID!E734/1000</f>
        <v>4425.6840000000002</v>
      </c>
      <c r="F959" s="19">
        <f>[1]TOBEPAID!F734/1000</f>
        <v>0</v>
      </c>
      <c r="G959" s="19">
        <f>[1]TOBEPAID!G734/1000</f>
        <v>0</v>
      </c>
      <c r="H959" s="19">
        <f>4425684/1000</f>
        <v>4425.6840000000002</v>
      </c>
      <c r="I959" s="19">
        <f>[1]TOBEPAID!I734/1000</f>
        <v>0</v>
      </c>
      <c r="J959" s="19">
        <f>[1]TOBEPAID!J734/1000</f>
        <v>0</v>
      </c>
      <c r="K959" s="19">
        <f>[1]TOBEPAID!K734/1000</f>
        <v>0</v>
      </c>
      <c r="L959" s="19">
        <f>[1]TOBEPAID!L734/1000</f>
        <v>0</v>
      </c>
      <c r="M959" s="19">
        <f>[1]TOBEPAID!M734/1000</f>
        <v>0</v>
      </c>
      <c r="N959" s="19">
        <f>[1]TOBEPAID!N734/1000</f>
        <v>4425.6840000000002</v>
      </c>
      <c r="O959" s="19">
        <f>[1]TOBEPAID!O734/1000</f>
        <v>0</v>
      </c>
      <c r="P959" s="19">
        <f>[1]TOBEPAID!P734/1000</f>
        <v>0</v>
      </c>
      <c r="Q959" s="19">
        <f>[1]TOBEPAID!Q734/1000</f>
        <v>0</v>
      </c>
      <c r="R959" s="19">
        <f>[1]TOBEPAID!R734/1000</f>
        <v>0</v>
      </c>
      <c r="S959" s="19">
        <f>[1]TOBEPAID!S734/1000</f>
        <v>0</v>
      </c>
      <c r="T959" s="19">
        <f>[1]TOBEPAID!T734/1000</f>
        <v>0</v>
      </c>
      <c r="U959" s="19">
        <f>[1]TOBEPAID!U734/1000</f>
        <v>0</v>
      </c>
      <c r="V959" s="19">
        <f>[1]TOBEPAID!V734/1000</f>
        <v>0</v>
      </c>
      <c r="W959" s="19">
        <f>[1]TOBEPAID!W734/1000</f>
        <v>0</v>
      </c>
      <c r="X959" s="19">
        <f>[1]TOBEPAID!X734/1000</f>
        <v>0</v>
      </c>
      <c r="Y959" s="19">
        <f>[1]TOBEPAID!Y734/1000</f>
        <v>4425.6840000000002</v>
      </c>
      <c r="Z959" s="19">
        <f>[1]TOBEPAID!Z734/1000</f>
        <v>0</v>
      </c>
      <c r="AA959" s="19">
        <f>[1]TOBEPAID!AA734/1000</f>
        <v>4425.6840000000002</v>
      </c>
      <c r="AB959" s="19">
        <f>[1]TOBEPAID!AB734/1000</f>
        <v>0</v>
      </c>
      <c r="AC959" s="19"/>
      <c r="AD959" s="19"/>
    </row>
    <row r="960" spans="1:30" x14ac:dyDescent="0.2">
      <c r="A960" s="18"/>
      <c r="C960" s="20" t="s">
        <v>160</v>
      </c>
      <c r="D960" s="19">
        <f>8884000/1000</f>
        <v>8884</v>
      </c>
      <c r="E960" s="19"/>
      <c r="F960" s="19"/>
      <c r="G960" s="19"/>
      <c r="H960" s="19">
        <f>8884000/1000</f>
        <v>8884</v>
      </c>
      <c r="I960" s="19"/>
      <c r="J960" s="19"/>
      <c r="K960" s="19"/>
      <c r="L960" s="19"/>
      <c r="M960" s="19"/>
      <c r="N960" s="19"/>
      <c r="O960" s="19"/>
      <c r="P960" s="19"/>
      <c r="Q960" s="19"/>
      <c r="R960" s="19">
        <v>0</v>
      </c>
      <c r="S960" s="19"/>
      <c r="T960" s="19"/>
      <c r="U960" s="19"/>
      <c r="V960" s="19"/>
      <c r="W960" s="19"/>
      <c r="X960" s="19"/>
      <c r="Y960" s="19">
        <f>+H960+R960</f>
        <v>8884</v>
      </c>
      <c r="Z960" s="19">
        <f>+D960-Y960</f>
        <v>0</v>
      </c>
      <c r="AA960" s="19"/>
      <c r="AB960" s="19"/>
      <c r="AC960" s="19"/>
      <c r="AD960" s="19"/>
    </row>
    <row r="961" spans="1:45" x14ac:dyDescent="0.2">
      <c r="A961" s="18"/>
      <c r="C961" s="20" t="s">
        <v>66</v>
      </c>
      <c r="D961" s="19">
        <f>13622749/1000</f>
        <v>13622.749</v>
      </c>
      <c r="E961" s="19"/>
      <c r="F961" s="19"/>
      <c r="G961" s="19"/>
      <c r="H961" s="19">
        <f>13622749/1000</f>
        <v>13622.749</v>
      </c>
      <c r="I961" s="19"/>
      <c r="J961" s="19"/>
      <c r="K961" s="19"/>
      <c r="L961" s="19"/>
      <c r="M961" s="19"/>
      <c r="N961" s="19"/>
      <c r="O961" s="19"/>
      <c r="P961" s="19"/>
      <c r="Q961" s="19"/>
      <c r="R961" s="19">
        <v>0</v>
      </c>
      <c r="S961" s="19"/>
      <c r="T961" s="19"/>
      <c r="U961" s="19"/>
      <c r="V961" s="19"/>
      <c r="W961" s="19"/>
      <c r="X961" s="19"/>
      <c r="Y961" s="19">
        <f>+H961+R961</f>
        <v>13622.749</v>
      </c>
      <c r="Z961" s="19">
        <f>+D961-Y961</f>
        <v>0</v>
      </c>
      <c r="AA961" s="19"/>
      <c r="AB961" s="19"/>
      <c r="AC961" s="19"/>
      <c r="AD961" s="19"/>
    </row>
    <row r="962" spans="1:45" x14ac:dyDescent="0.2">
      <c r="C962" s="3" t="s">
        <v>67</v>
      </c>
      <c r="D962" s="19">
        <f>3500000/1000</f>
        <v>3500</v>
      </c>
      <c r="E962" s="19">
        <f>[1]TOBEPAID!E735/1000</f>
        <v>3500</v>
      </c>
      <c r="F962" s="19">
        <f>[1]TOBEPAID!F735/1000</f>
        <v>0</v>
      </c>
      <c r="G962" s="19">
        <f>[1]TOBEPAID!G735/1000</f>
        <v>0</v>
      </c>
      <c r="H962" s="19">
        <f>3500000/1000</f>
        <v>3500</v>
      </c>
      <c r="I962" s="19">
        <f>[1]TOBEPAID!I735/1000</f>
        <v>0</v>
      </c>
      <c r="J962" s="19">
        <f>[1]TOBEPAID!J735/1000</f>
        <v>0</v>
      </c>
      <c r="K962" s="19">
        <f>[1]TOBEPAID!K735/1000</f>
        <v>0</v>
      </c>
      <c r="L962" s="19">
        <f>[1]TOBEPAID!L735/1000</f>
        <v>0</v>
      </c>
      <c r="M962" s="19">
        <f>[1]TOBEPAID!M735/1000</f>
        <v>0</v>
      </c>
      <c r="N962" s="19">
        <f>[1]TOBEPAID!N735/1000</f>
        <v>3500</v>
      </c>
      <c r="O962" s="19">
        <f>[1]TOBEPAID!O735/1000</f>
        <v>0</v>
      </c>
      <c r="P962" s="19">
        <f>[1]TOBEPAID!P735/1000</f>
        <v>0</v>
      </c>
      <c r="Q962" s="19">
        <f>[1]TOBEPAID!Q735/1000</f>
        <v>0</v>
      </c>
      <c r="R962" s="19">
        <f>[1]TOBEPAID!R735/1000</f>
        <v>0</v>
      </c>
      <c r="S962" s="19">
        <f>[1]TOBEPAID!S735/1000</f>
        <v>0</v>
      </c>
      <c r="T962" s="19">
        <f>[1]TOBEPAID!T735/1000</f>
        <v>0</v>
      </c>
      <c r="U962" s="19">
        <f>[1]TOBEPAID!U735/1000</f>
        <v>0</v>
      </c>
      <c r="V962" s="19">
        <f>[1]TOBEPAID!V735/1000</f>
        <v>0</v>
      </c>
      <c r="W962" s="19">
        <f>[1]TOBEPAID!W735/1000</f>
        <v>0</v>
      </c>
      <c r="X962" s="19">
        <f>[1]TOBEPAID!X735/1000</f>
        <v>0</v>
      </c>
      <c r="Y962" s="19">
        <f>[1]TOBEPAID!Y735/1000</f>
        <v>3500</v>
      </c>
      <c r="Z962" s="19">
        <f>[1]TOBEPAID!Z735/1000</f>
        <v>0</v>
      </c>
      <c r="AA962" s="19">
        <f>[1]TOBEPAID!AA735/1000</f>
        <v>3500</v>
      </c>
      <c r="AB962" s="19">
        <f>[1]TOBEPAID!AB735/1000</f>
        <v>0</v>
      </c>
      <c r="AC962" s="19"/>
      <c r="AD962" s="19"/>
    </row>
    <row r="963" spans="1:45" x14ac:dyDescent="0.2">
      <c r="C963" s="3" t="s">
        <v>293</v>
      </c>
      <c r="D963" s="19">
        <f>15000000/1000</f>
        <v>15000</v>
      </c>
      <c r="E963" s="19"/>
      <c r="F963" s="19"/>
      <c r="G963" s="19"/>
      <c r="H963" s="19">
        <f>15000000/1000</f>
        <v>15000</v>
      </c>
      <c r="I963" s="19"/>
      <c r="J963" s="19"/>
      <c r="K963" s="19"/>
      <c r="L963" s="19"/>
      <c r="M963" s="19"/>
      <c r="N963" s="19"/>
      <c r="O963" s="19"/>
      <c r="P963" s="19"/>
      <c r="Q963" s="19"/>
      <c r="R963" s="19">
        <v>0</v>
      </c>
      <c r="S963" s="19"/>
      <c r="T963" s="19"/>
      <c r="U963" s="19"/>
      <c r="V963" s="19"/>
      <c r="W963" s="19"/>
      <c r="X963" s="19"/>
      <c r="Y963" s="19">
        <f>+H963+R963</f>
        <v>15000</v>
      </c>
      <c r="Z963" s="19">
        <f>+D963-Y963</f>
        <v>0</v>
      </c>
      <c r="AA963" s="19"/>
      <c r="AB963" s="19"/>
      <c r="AC963" s="19"/>
      <c r="AD963" s="19"/>
    </row>
    <row r="964" spans="1:45" x14ac:dyDescent="0.2">
      <c r="C964" s="3" t="s">
        <v>161</v>
      </c>
      <c r="D964" s="19">
        <f>8171487.27/1000</f>
        <v>8171.4872699999996</v>
      </c>
      <c r="E964" s="19"/>
      <c r="F964" s="19"/>
      <c r="G964" s="19"/>
      <c r="H964" s="19">
        <f>8171487.27/1000</f>
        <v>8171.4872699999996</v>
      </c>
      <c r="I964" s="19"/>
      <c r="J964" s="19"/>
      <c r="K964" s="19"/>
      <c r="L964" s="19"/>
      <c r="M964" s="19"/>
      <c r="N964" s="19"/>
      <c r="O964" s="19"/>
      <c r="P964" s="19"/>
      <c r="Q964" s="19"/>
      <c r="R964" s="19">
        <v>0</v>
      </c>
      <c r="S964" s="19"/>
      <c r="T964" s="19"/>
      <c r="U964" s="19"/>
      <c r="V964" s="19"/>
      <c r="W964" s="19"/>
      <c r="X964" s="19"/>
      <c r="Y964" s="19">
        <f>+H964+R964</f>
        <v>8171.4872699999996</v>
      </c>
      <c r="Z964" s="19">
        <f>+D964-Y964</f>
        <v>0</v>
      </c>
      <c r="AA964" s="19"/>
      <c r="AB964" s="19"/>
      <c r="AC964" s="19"/>
      <c r="AD964" s="19"/>
    </row>
    <row r="965" spans="1:45" x14ac:dyDescent="0.2">
      <c r="A965" s="18"/>
      <c r="C965" s="17" t="s">
        <v>55</v>
      </c>
      <c r="D965" s="19">
        <f>2145700/1000</f>
        <v>2145.6999999999998</v>
      </c>
      <c r="E965" s="19">
        <f>[1]TOBEPAID!E736/1000</f>
        <v>0</v>
      </c>
      <c r="F965" s="19">
        <f>[1]TOBEPAID!F736/1000</f>
        <v>0</v>
      </c>
      <c r="G965" s="19">
        <f>[1]TOBEPAID!G736/1000</f>
        <v>0</v>
      </c>
      <c r="H965" s="19">
        <v>0</v>
      </c>
      <c r="I965" s="19">
        <f>[1]TOBEPAID!I736/1000</f>
        <v>0</v>
      </c>
      <c r="J965" s="19">
        <f>[1]TOBEPAID!J736/1000</f>
        <v>0</v>
      </c>
      <c r="K965" s="19">
        <f>[1]TOBEPAID!K736/1000</f>
        <v>0</v>
      </c>
      <c r="L965" s="19">
        <f>[1]TOBEPAID!L736/1000</f>
        <v>0</v>
      </c>
      <c r="M965" s="19">
        <f>[1]TOBEPAID!M736/1000</f>
        <v>0</v>
      </c>
      <c r="N965" s="19">
        <f>[1]TOBEPAID!N736/1000</f>
        <v>0</v>
      </c>
      <c r="O965" s="19">
        <f>[1]TOBEPAID!O736/1000</f>
        <v>0</v>
      </c>
      <c r="P965" s="19">
        <f>[1]TOBEPAID!P736/1000</f>
        <v>0</v>
      </c>
      <c r="Q965" s="19">
        <f>[1]TOBEPAID!Q736/1000</f>
        <v>0</v>
      </c>
      <c r="R965" s="19">
        <f>[1]TOBEPAID!R736/1000</f>
        <v>0</v>
      </c>
      <c r="S965" s="19">
        <f>[1]TOBEPAID!S736/1000</f>
        <v>0</v>
      </c>
      <c r="T965" s="19">
        <f>[1]TOBEPAID!T736/1000</f>
        <v>0</v>
      </c>
      <c r="U965" s="19">
        <f>[1]TOBEPAID!U736/1000</f>
        <v>0</v>
      </c>
      <c r="V965" s="19">
        <f>[1]TOBEPAID!V736/1000</f>
        <v>0</v>
      </c>
      <c r="W965" s="19">
        <f>[1]TOBEPAID!W736/1000</f>
        <v>0</v>
      </c>
      <c r="X965" s="19">
        <f>[1]TOBEPAID!X736/1000</f>
        <v>0</v>
      </c>
      <c r="Y965" s="19">
        <f>[1]TOBEPAID!Y736/1000</f>
        <v>0</v>
      </c>
      <c r="Z965" s="19">
        <f>[1]TOBEPAID!Z736/1000</f>
        <v>2145.6999999999998</v>
      </c>
      <c r="AA965" s="19">
        <f>[1]TOBEPAID!AA736/1000</f>
        <v>0</v>
      </c>
      <c r="AB965" s="19">
        <f>[1]TOBEPAID!AB736/1000</f>
        <v>2145.6999999999998</v>
      </c>
      <c r="AC965" s="19"/>
      <c r="AD965" s="19"/>
    </row>
    <row r="966" spans="1:45" x14ac:dyDescent="0.2">
      <c r="A966" s="18"/>
      <c r="D966" s="21" t="s">
        <v>57</v>
      </c>
      <c r="E966" s="21" t="s">
        <v>57</v>
      </c>
      <c r="F966" s="21" t="s">
        <v>57</v>
      </c>
      <c r="G966" s="21"/>
      <c r="H966" s="21" t="s">
        <v>57</v>
      </c>
      <c r="I966" s="21" t="s">
        <v>57</v>
      </c>
      <c r="J966" s="21" t="s">
        <v>57</v>
      </c>
      <c r="K966" s="21" t="s">
        <v>57</v>
      </c>
      <c r="L966" s="21" t="s">
        <v>57</v>
      </c>
      <c r="M966" s="21"/>
      <c r="N966" s="21" t="s">
        <v>57</v>
      </c>
      <c r="O966" s="21" t="s">
        <v>57</v>
      </c>
      <c r="P966" s="21" t="s">
        <v>57</v>
      </c>
      <c r="Q966" s="21"/>
      <c r="R966" s="21" t="s">
        <v>57</v>
      </c>
      <c r="S966" s="21" t="s">
        <v>57</v>
      </c>
      <c r="T966" s="21" t="s">
        <v>57</v>
      </c>
      <c r="U966" s="21" t="s">
        <v>57</v>
      </c>
      <c r="V966" s="21" t="s">
        <v>57</v>
      </c>
      <c r="W966" s="21"/>
      <c r="X966" s="21" t="s">
        <v>57</v>
      </c>
      <c r="Y966" s="21" t="s">
        <v>57</v>
      </c>
      <c r="Z966" s="21" t="s">
        <v>57</v>
      </c>
      <c r="AA966" s="21" t="s">
        <v>57</v>
      </c>
      <c r="AB966" s="21" t="s">
        <v>57</v>
      </c>
      <c r="AC966" s="21"/>
      <c r="AD966" s="21"/>
    </row>
    <row r="967" spans="1:45" x14ac:dyDescent="0.2">
      <c r="A967" s="18"/>
      <c r="D967" s="19">
        <f>SUM(D958:D965)</f>
        <v>61497.95431999999</v>
      </c>
      <c r="E967" s="19">
        <f>SUM(E958:E965)</f>
        <v>7925.6840000000002</v>
      </c>
      <c r="F967" s="19">
        <f>SUM(F958:F965)</f>
        <v>0</v>
      </c>
      <c r="G967" s="19"/>
      <c r="H967" s="19">
        <f>SUM(H958:H965)</f>
        <v>53603.920270000002</v>
      </c>
      <c r="I967" s="19">
        <f>SUM(I958:I965)</f>
        <v>0</v>
      </c>
      <c r="J967" s="19">
        <f>SUM(J958:J965)</f>
        <v>0</v>
      </c>
      <c r="K967" s="19">
        <f>SUM(K958:K965)</f>
        <v>0</v>
      </c>
      <c r="L967" s="19">
        <f>SUM(L958:L965)</f>
        <v>0</v>
      </c>
      <c r="M967" s="19"/>
      <c r="N967" s="19">
        <f>SUM(N958:N965)</f>
        <v>7925.6840000000002</v>
      </c>
      <c r="O967" s="19">
        <f>SUM(O958:O965)</f>
        <v>0</v>
      </c>
      <c r="P967" s="19">
        <f>SUM(P958:P965)</f>
        <v>0</v>
      </c>
      <c r="Q967" s="19"/>
      <c r="R967" s="19">
        <f>SUM(R958:R965)</f>
        <v>0</v>
      </c>
      <c r="S967" s="19">
        <f>SUM(S958:S965)</f>
        <v>0</v>
      </c>
      <c r="T967" s="19">
        <f>SUM(T958:T965)</f>
        <v>0</v>
      </c>
      <c r="U967" s="19">
        <f>SUM(U958:U965)</f>
        <v>0</v>
      </c>
      <c r="V967" s="19">
        <f>SUM(V958:V965)</f>
        <v>0</v>
      </c>
      <c r="W967" s="19"/>
      <c r="X967" s="19">
        <f>SUM(X958:X965)</f>
        <v>0</v>
      </c>
      <c r="Y967" s="19">
        <f>SUM(Y958:Y965)</f>
        <v>53603.920270000002</v>
      </c>
      <c r="Z967" s="19">
        <f>SUM(Z958:Z965)</f>
        <v>7894.0340499999993</v>
      </c>
      <c r="AA967" s="19">
        <f>SUM(AA958:AA965)</f>
        <v>7925.6840000000002</v>
      </c>
      <c r="AB967" s="19">
        <f>SUM(AB958:AB965)</f>
        <v>16065.52132</v>
      </c>
      <c r="AC967" s="19"/>
      <c r="AD967" s="19"/>
    </row>
    <row r="968" spans="1:45" x14ac:dyDescent="0.2">
      <c r="A968" s="18"/>
      <c r="D968" s="21" t="s">
        <v>57</v>
      </c>
      <c r="E968" s="21" t="s">
        <v>57</v>
      </c>
      <c r="F968" s="21" t="s">
        <v>57</v>
      </c>
      <c r="G968" s="21"/>
      <c r="H968" s="21" t="s">
        <v>57</v>
      </c>
      <c r="I968" s="21" t="s">
        <v>57</v>
      </c>
      <c r="J968" s="21" t="s">
        <v>57</v>
      </c>
      <c r="K968" s="21" t="s">
        <v>57</v>
      </c>
      <c r="L968" s="21" t="s">
        <v>57</v>
      </c>
      <c r="M968" s="21"/>
      <c r="N968" s="21" t="s">
        <v>57</v>
      </c>
      <c r="O968" s="21" t="s">
        <v>57</v>
      </c>
      <c r="P968" s="21" t="s">
        <v>57</v>
      </c>
      <c r="Q968" s="21"/>
      <c r="R968" s="21" t="s">
        <v>57</v>
      </c>
      <c r="S968" s="21" t="s">
        <v>57</v>
      </c>
      <c r="T968" s="21" t="s">
        <v>57</v>
      </c>
      <c r="U968" s="21" t="s">
        <v>57</v>
      </c>
      <c r="V968" s="21" t="s">
        <v>57</v>
      </c>
      <c r="W968" s="21"/>
      <c r="X968" s="21" t="s">
        <v>57</v>
      </c>
      <c r="Y968" s="21" t="s">
        <v>57</v>
      </c>
      <c r="Z968" s="21" t="s">
        <v>57</v>
      </c>
      <c r="AA968" s="21" t="s">
        <v>57</v>
      </c>
      <c r="AB968" s="21" t="s">
        <v>57</v>
      </c>
      <c r="AC968" s="21"/>
      <c r="AD968" s="21"/>
    </row>
    <row r="969" spans="1:45" x14ac:dyDescent="0.2">
      <c r="A969" s="18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S969" s="34">
        <f t="shared" ref="AS969:AS981" si="174">+AF970-AK970-AP970</f>
        <v>0</v>
      </c>
    </row>
    <row r="970" spans="1:45" x14ac:dyDescent="0.2">
      <c r="A970" s="18">
        <v>74</v>
      </c>
      <c r="B970" s="17" t="s">
        <v>294</v>
      </c>
      <c r="C970" s="17" t="s">
        <v>51</v>
      </c>
      <c r="D970" s="19">
        <f>8702465/1000</f>
        <v>8702.4650000000001</v>
      </c>
      <c r="E970" s="19">
        <f>[1]TOBEPAID!E741/1000</f>
        <v>0</v>
      </c>
      <c r="F970" s="19">
        <f>[1]TOBEPAID!F741/1000</f>
        <v>0</v>
      </c>
      <c r="G970" s="19">
        <f>[1]TOBEPAID!G741/1000</f>
        <v>0</v>
      </c>
      <c r="H970" s="19">
        <f>8680491/1000</f>
        <v>8680.491</v>
      </c>
      <c r="I970" s="19">
        <f>[1]TOBEPAID!I741/1000</f>
        <v>0</v>
      </c>
      <c r="J970" s="19">
        <f>[1]TOBEPAID!J741/1000</f>
        <v>0</v>
      </c>
      <c r="K970" s="19">
        <f>[1]TOBEPAID!K741/1000</f>
        <v>0</v>
      </c>
      <c r="L970" s="19">
        <f>[1]TOBEPAID!L741/1000</f>
        <v>0</v>
      </c>
      <c r="M970" s="19">
        <f>[1]TOBEPAID!M741/1000</f>
        <v>0</v>
      </c>
      <c r="N970" s="19">
        <f>[1]TOBEPAID!N741/1000</f>
        <v>0</v>
      </c>
      <c r="O970" s="19">
        <f>[1]TOBEPAID!O741/1000</f>
        <v>0</v>
      </c>
      <c r="P970" s="19">
        <f>[1]TOBEPAID!P741/1000</f>
        <v>0</v>
      </c>
      <c r="Q970" s="19">
        <f>[1]TOBEPAID!Q741/1000</f>
        <v>0</v>
      </c>
      <c r="R970" s="19">
        <v>0</v>
      </c>
      <c r="S970" s="19">
        <f>[1]TOBEPAID!S741/1000</f>
        <v>0</v>
      </c>
      <c r="T970" s="19">
        <f>[1]TOBEPAID!T741/1000</f>
        <v>0</v>
      </c>
      <c r="U970" s="19">
        <f>[1]TOBEPAID!U741/1000</f>
        <v>0</v>
      </c>
      <c r="V970" s="19">
        <f>[1]TOBEPAID!V741/1000</f>
        <v>0</v>
      </c>
      <c r="W970" s="19">
        <f>[1]TOBEPAID!W741/1000</f>
        <v>0</v>
      </c>
      <c r="X970" s="19">
        <f>[1]TOBEPAID!X741/1000</f>
        <v>0</v>
      </c>
      <c r="Y970" s="19">
        <f>+H970+R970</f>
        <v>8680.491</v>
      </c>
      <c r="Z970" s="19">
        <f>+D970-Y970</f>
        <v>21.97400000000016</v>
      </c>
      <c r="AA970" s="19">
        <f>[1]TOBEPAID!AA741/1000</f>
        <v>0</v>
      </c>
      <c r="AB970" s="19">
        <f>[1]TOBEPAID!AB741/1000</f>
        <v>4323.4378699999997</v>
      </c>
      <c r="AC970" s="19"/>
      <c r="AD970" s="19"/>
      <c r="AF970" s="34">
        <f>+D942</f>
        <v>1500</v>
      </c>
      <c r="AG970" s="34">
        <f>+E942</f>
        <v>0</v>
      </c>
      <c r="AH970" s="34">
        <f>+F942</f>
        <v>1500</v>
      </c>
      <c r="AI970" s="34">
        <f>+AG970+AH970</f>
        <v>1500</v>
      </c>
      <c r="AJ970" s="34">
        <f>+L942</f>
        <v>0</v>
      </c>
      <c r="AK970" s="34">
        <f>+AI970+AJ970</f>
        <v>1500</v>
      </c>
      <c r="AL970" s="34">
        <f>+O942</f>
        <v>0</v>
      </c>
      <c r="AM970" s="34">
        <f>+P942</f>
        <v>0</v>
      </c>
      <c r="AN970" s="34">
        <f>+AL970+AM970</f>
        <v>0</v>
      </c>
      <c r="AO970" s="34">
        <f>+V942</f>
        <v>0</v>
      </c>
      <c r="AP970" s="34">
        <f>+AN970+AO970</f>
        <v>0</v>
      </c>
      <c r="AQ970" s="34">
        <f>+AI970+AN970</f>
        <v>1500</v>
      </c>
      <c r="AR970" s="34">
        <f>+AF970-AQ970</f>
        <v>0</v>
      </c>
      <c r="AS970" s="34">
        <f t="shared" si="174"/>
        <v>0</v>
      </c>
    </row>
    <row r="971" spans="1:45" x14ac:dyDescent="0.2">
      <c r="A971" s="18"/>
      <c r="C971" s="20" t="s">
        <v>52</v>
      </c>
      <c r="D971" s="19">
        <f>2049304/1000</f>
        <v>2049.3040000000001</v>
      </c>
      <c r="E971" s="19">
        <f>[1]TOBEPAID!E742/1000</f>
        <v>2049.3045000000002</v>
      </c>
      <c r="F971" s="19">
        <f>[1]TOBEPAID!F742/1000</f>
        <v>0</v>
      </c>
      <c r="G971" s="19">
        <f>[1]TOBEPAID!G742/1000</f>
        <v>0</v>
      </c>
      <c r="H971" s="19">
        <f>2049304/1000</f>
        <v>2049.3040000000001</v>
      </c>
      <c r="I971" s="19">
        <f>[1]TOBEPAID!I742/1000</f>
        <v>0</v>
      </c>
      <c r="J971" s="19">
        <f>[1]TOBEPAID!J742/1000</f>
        <v>0</v>
      </c>
      <c r="K971" s="19">
        <f>[1]TOBEPAID!K742/1000</f>
        <v>0</v>
      </c>
      <c r="L971" s="19">
        <f>[1]TOBEPAID!L742/1000</f>
        <v>0</v>
      </c>
      <c r="M971" s="19">
        <f>[1]TOBEPAID!M742/1000</f>
        <v>0</v>
      </c>
      <c r="N971" s="19">
        <f>[1]TOBEPAID!N742/1000</f>
        <v>2049.3045000000002</v>
      </c>
      <c r="O971" s="19">
        <f>[1]TOBEPAID!O742/1000</f>
        <v>0</v>
      </c>
      <c r="P971" s="19">
        <f>[1]TOBEPAID!P742/1000</f>
        <v>0</v>
      </c>
      <c r="Q971" s="19">
        <f>[1]TOBEPAID!Q742/1000</f>
        <v>0</v>
      </c>
      <c r="R971" s="19">
        <v>0</v>
      </c>
      <c r="S971" s="19">
        <f>[1]TOBEPAID!S742/1000</f>
        <v>0</v>
      </c>
      <c r="T971" s="19">
        <f>[1]TOBEPAID!T742/1000</f>
        <v>0</v>
      </c>
      <c r="U971" s="19">
        <f>[1]TOBEPAID!U742/1000</f>
        <v>0</v>
      </c>
      <c r="V971" s="19">
        <f>[1]TOBEPAID!V742/1000</f>
        <v>0</v>
      </c>
      <c r="W971" s="19">
        <f>[1]TOBEPAID!W742/1000</f>
        <v>0</v>
      </c>
      <c r="X971" s="19">
        <f>[1]TOBEPAID!X742/1000</f>
        <v>0</v>
      </c>
      <c r="Y971" s="19">
        <f>+H971+R971</f>
        <v>2049.3040000000001</v>
      </c>
      <c r="Z971" s="19">
        <f>+D971-Y971</f>
        <v>0</v>
      </c>
      <c r="AA971" s="19">
        <f>[1]TOBEPAID!AA742/1000</f>
        <v>2049.3045000000002</v>
      </c>
      <c r="AB971" s="19">
        <f>[1]TOBEPAID!AB742/1000</f>
        <v>0</v>
      </c>
      <c r="AC971" s="19"/>
      <c r="AD971" s="19"/>
      <c r="AE971" s="25" t="s">
        <v>72</v>
      </c>
      <c r="AF971" s="34">
        <f>+D962</f>
        <v>3500</v>
      </c>
      <c r="AG971" s="34">
        <f>+E962</f>
        <v>3500</v>
      </c>
      <c r="AH971" s="34">
        <f>+F962</f>
        <v>0</v>
      </c>
      <c r="AI971" s="34">
        <f>+AG971+AH971</f>
        <v>3500</v>
      </c>
      <c r="AJ971" s="34">
        <f>+L962</f>
        <v>0</v>
      </c>
      <c r="AK971" s="34">
        <f>+AI971+AJ971</f>
        <v>3500</v>
      </c>
      <c r="AL971" s="34">
        <f>+O962</f>
        <v>0</v>
      </c>
      <c r="AM971" s="34">
        <f>+P962</f>
        <v>0</v>
      </c>
      <c r="AN971" s="34">
        <f>+AL971+AM971</f>
        <v>0</v>
      </c>
      <c r="AO971" s="34">
        <f>+V962</f>
        <v>0</v>
      </c>
      <c r="AP971" s="34">
        <f>+AN971+AO971</f>
        <v>0</v>
      </c>
      <c r="AQ971" s="34">
        <f>+AI971+AN971</f>
        <v>3500</v>
      </c>
      <c r="AR971" s="34">
        <f>+AF971-AQ971</f>
        <v>0</v>
      </c>
      <c r="AS971" s="34">
        <f>+AF973-AK973-AP973</f>
        <v>0</v>
      </c>
    </row>
    <row r="972" spans="1:45" x14ac:dyDescent="0.2">
      <c r="A972" s="18"/>
      <c r="C972" s="20" t="s">
        <v>64</v>
      </c>
      <c r="D972" s="19">
        <f>5000000/1000</f>
        <v>5000</v>
      </c>
      <c r="E972" s="19"/>
      <c r="F972" s="19"/>
      <c r="G972" s="19"/>
      <c r="H972" s="19">
        <f>5000000/1000</f>
        <v>5000</v>
      </c>
      <c r="I972" s="19"/>
      <c r="J972" s="19"/>
      <c r="K972" s="19"/>
      <c r="L972" s="19"/>
      <c r="M972" s="19"/>
      <c r="N972" s="19"/>
      <c r="O972" s="19"/>
      <c r="P972" s="19"/>
      <c r="Q972" s="19"/>
      <c r="R972" s="19">
        <v>0</v>
      </c>
      <c r="S972" s="19"/>
      <c r="T972" s="19"/>
      <c r="U972" s="19"/>
      <c r="V972" s="19"/>
      <c r="W972" s="19"/>
      <c r="X972" s="19"/>
      <c r="Y972" s="19">
        <f>+H972+R972</f>
        <v>5000</v>
      </c>
      <c r="Z972" s="19">
        <f>+D972-Y972</f>
        <v>0</v>
      </c>
      <c r="AA972" s="19"/>
      <c r="AB972" s="19"/>
      <c r="AC972" s="19"/>
      <c r="AD972" s="19"/>
      <c r="AE972" s="25"/>
      <c r="AF972" s="34"/>
      <c r="AG972" s="34"/>
      <c r="AH972" s="34"/>
      <c r="AI972" s="34"/>
      <c r="AJ972" s="34"/>
      <c r="AK972" s="34"/>
      <c r="AL972" s="34"/>
      <c r="AM972" s="34"/>
      <c r="AN972" s="34"/>
      <c r="AO972" s="34"/>
      <c r="AP972" s="34"/>
      <c r="AQ972" s="34"/>
      <c r="AR972" s="34"/>
      <c r="AS972" s="34"/>
    </row>
    <row r="973" spans="1:45" x14ac:dyDescent="0.2">
      <c r="A973" s="18"/>
      <c r="C973" s="17" t="s">
        <v>55</v>
      </c>
      <c r="D973" s="19">
        <f>141345/1000</f>
        <v>141.345</v>
      </c>
      <c r="E973" s="19">
        <f>[1]TOBEPAID!E743/1000</f>
        <v>0</v>
      </c>
      <c r="F973" s="19">
        <f>[1]TOBEPAID!F743/1000</f>
        <v>0</v>
      </c>
      <c r="G973" s="19">
        <f>[1]TOBEPAID!G743/1000</f>
        <v>0</v>
      </c>
      <c r="H973" s="19">
        <v>0</v>
      </c>
      <c r="I973" s="19">
        <f>[1]TOBEPAID!I743/1000</f>
        <v>0</v>
      </c>
      <c r="J973" s="19">
        <f>[1]TOBEPAID!J743/1000</f>
        <v>0</v>
      </c>
      <c r="K973" s="19">
        <f>[1]TOBEPAID!K743/1000</f>
        <v>0</v>
      </c>
      <c r="L973" s="19">
        <f>[1]TOBEPAID!L743/1000</f>
        <v>0</v>
      </c>
      <c r="M973" s="19">
        <f>[1]TOBEPAID!M743/1000</f>
        <v>0</v>
      </c>
      <c r="N973" s="19">
        <f>[1]TOBEPAID!N743/1000</f>
        <v>0</v>
      </c>
      <c r="O973" s="19">
        <f>[1]TOBEPAID!O743/1000</f>
        <v>141.34520000000001</v>
      </c>
      <c r="P973" s="19">
        <f>[1]TOBEPAID!P743/1000</f>
        <v>0</v>
      </c>
      <c r="Q973" s="19">
        <f>[1]TOBEPAID!Q743/1000</f>
        <v>0</v>
      </c>
      <c r="R973" s="19">
        <f>141345/1000</f>
        <v>141.345</v>
      </c>
      <c r="S973" s="19">
        <f>[1]TOBEPAID!S743/1000</f>
        <v>0</v>
      </c>
      <c r="T973" s="19">
        <f>[1]TOBEPAID!T743/1000</f>
        <v>0</v>
      </c>
      <c r="U973" s="19">
        <f>[1]TOBEPAID!U743/1000</f>
        <v>0</v>
      </c>
      <c r="V973" s="19">
        <f>[1]TOBEPAID!V743/1000</f>
        <v>0</v>
      </c>
      <c r="W973" s="19">
        <f>[1]TOBEPAID!W743/1000</f>
        <v>0</v>
      </c>
      <c r="X973" s="19">
        <f>[1]TOBEPAID!X743/1000</f>
        <v>141.34520000000001</v>
      </c>
      <c r="Y973" s="19">
        <f>+H973+R973</f>
        <v>141.345</v>
      </c>
      <c r="Z973" s="19">
        <f>+D973-Y973</f>
        <v>0</v>
      </c>
      <c r="AA973" s="19">
        <f>[1]TOBEPAID!AA743/1000</f>
        <v>141.34520000000001</v>
      </c>
      <c r="AB973" s="19">
        <f>[1]TOBEPAID!AB743/1000</f>
        <v>4379.0277999999998</v>
      </c>
      <c r="AC973" s="19"/>
      <c r="AD973" s="19"/>
      <c r="AE973" s="25" t="s">
        <v>86</v>
      </c>
      <c r="AF973" s="66">
        <f>+D931</f>
        <v>13000</v>
      </c>
      <c r="AG973" s="34">
        <f>E931</f>
        <v>13000</v>
      </c>
      <c r="AH973" s="34">
        <f>F931</f>
        <v>0</v>
      </c>
      <c r="AI973" s="34">
        <f>+AG973+AH973</f>
        <v>13000</v>
      </c>
      <c r="AJ973" s="34">
        <f>L931</f>
        <v>0</v>
      </c>
      <c r="AK973" s="34">
        <f>+AI973+AJ973</f>
        <v>13000</v>
      </c>
      <c r="AL973" s="34">
        <f>O931</f>
        <v>0</v>
      </c>
      <c r="AM973" s="34">
        <f>P931</f>
        <v>0</v>
      </c>
      <c r="AN973" s="34">
        <f>+AL973+AM973</f>
        <v>0</v>
      </c>
      <c r="AO973" s="34">
        <f>V931</f>
        <v>0</v>
      </c>
      <c r="AP973" s="34">
        <f>+AN973+AO973</f>
        <v>0</v>
      </c>
      <c r="AQ973" s="34">
        <f>+AI973+AN973</f>
        <v>13000</v>
      </c>
      <c r="AR973" s="34">
        <f>+AF973-AQ973</f>
        <v>0</v>
      </c>
      <c r="AS973" s="34">
        <f t="shared" si="174"/>
        <v>125598.93008999999</v>
      </c>
    </row>
    <row r="974" spans="1:45" x14ac:dyDescent="0.2">
      <c r="A974" s="18"/>
      <c r="B974" s="9"/>
      <c r="D974" s="21" t="s">
        <v>57</v>
      </c>
      <c r="E974" s="21" t="s">
        <v>57</v>
      </c>
      <c r="F974" s="21" t="s">
        <v>57</v>
      </c>
      <c r="G974" s="21"/>
      <c r="H974" s="21" t="s">
        <v>57</v>
      </c>
      <c r="I974" s="21" t="s">
        <v>57</v>
      </c>
      <c r="J974" s="21" t="s">
        <v>57</v>
      </c>
      <c r="K974" s="21" t="s">
        <v>57</v>
      </c>
      <c r="L974" s="21" t="s">
        <v>57</v>
      </c>
      <c r="M974" s="21"/>
      <c r="N974" s="21" t="s">
        <v>57</v>
      </c>
      <c r="O974" s="21" t="s">
        <v>57</v>
      </c>
      <c r="P974" s="21" t="s">
        <v>57</v>
      </c>
      <c r="Q974" s="21"/>
      <c r="R974" s="21" t="s">
        <v>57</v>
      </c>
      <c r="S974" s="21" t="s">
        <v>57</v>
      </c>
      <c r="T974" s="21" t="s">
        <v>57</v>
      </c>
      <c r="U974" s="21" t="s">
        <v>57</v>
      </c>
      <c r="V974" s="21" t="s">
        <v>57</v>
      </c>
      <c r="W974" s="21"/>
      <c r="X974" s="21" t="s">
        <v>57</v>
      </c>
      <c r="Y974" s="21" t="s">
        <v>57</v>
      </c>
      <c r="Z974" s="21" t="s">
        <v>57</v>
      </c>
      <c r="AA974" s="21" t="s">
        <v>57</v>
      </c>
      <c r="AB974" s="21" t="s">
        <v>57</v>
      </c>
      <c r="AC974" s="21"/>
      <c r="AD974" s="21"/>
      <c r="AE974" s="33" t="s">
        <v>295</v>
      </c>
      <c r="AF974" s="34">
        <f>D888+D897+D908+D918+D927+D938+D951+D958+D970+D978</f>
        <v>129391.01105</v>
      </c>
      <c r="AG974" s="34">
        <f>E888+E897+E908+E918+E927+E938+E951+E958+E970+E978</f>
        <v>0</v>
      </c>
      <c r="AH974" s="34">
        <f>F888+F897+F908+F918+F927+F938+F951+F958+F970+F978</f>
        <v>0</v>
      </c>
      <c r="AI974" s="34">
        <f>+AG974+AH974</f>
        <v>0</v>
      </c>
      <c r="AJ974" s="34">
        <f>L888+L897+L908+L918+L927+L938+L951+L958+L970+L978</f>
        <v>0</v>
      </c>
      <c r="AK974" s="34">
        <f>+AI974+AJ974</f>
        <v>0</v>
      </c>
      <c r="AL974" s="34">
        <f>O888+O897+O908+O918+O927+O938+O951+O958+O970+O978</f>
        <v>3792.0809600000002</v>
      </c>
      <c r="AM974" s="34">
        <f>P888+P897+P908+P918+P927+P938+P951+P958+P970+P978</f>
        <v>0</v>
      </c>
      <c r="AN974" s="34">
        <f>+AL974+AM974</f>
        <v>3792.0809600000002</v>
      </c>
      <c r="AO974" s="34">
        <f>V888+V897+V908+V918+V927+V938+V951+V958+V970+V978</f>
        <v>0</v>
      </c>
      <c r="AP974" s="34">
        <f>+AN974+AO974</f>
        <v>3792.0809600000002</v>
      </c>
      <c r="AQ974" s="34">
        <f>+AI974+AN974</f>
        <v>3792.0809600000002</v>
      </c>
      <c r="AR974" s="34">
        <f>+AF974-AQ974</f>
        <v>125598.93008999999</v>
      </c>
      <c r="AS974" s="34">
        <f t="shared" si="174"/>
        <v>-5.0000000192085281E-4</v>
      </c>
    </row>
    <row r="975" spans="1:45" x14ac:dyDescent="0.2">
      <c r="A975" s="18"/>
      <c r="D975" s="19">
        <f>SUM(D970:D973)</f>
        <v>15893.114</v>
      </c>
      <c r="E975" s="19">
        <f>SUM(E970:E973)</f>
        <v>2049.3045000000002</v>
      </c>
      <c r="F975" s="19">
        <f>SUM(F970:F973)</f>
        <v>0</v>
      </c>
      <c r="G975" s="19"/>
      <c r="H975" s="19">
        <f>SUM(H970:H973)</f>
        <v>15729.795</v>
      </c>
      <c r="I975" s="19">
        <f>SUM(I970:I973)</f>
        <v>0</v>
      </c>
      <c r="J975" s="19">
        <f>SUM(J970:J973)</f>
        <v>0</v>
      </c>
      <c r="K975" s="19">
        <f>SUM(K970:K973)</f>
        <v>0</v>
      </c>
      <c r="L975" s="19">
        <f>SUM(L970:L973)</f>
        <v>0</v>
      </c>
      <c r="M975" s="19"/>
      <c r="N975" s="19">
        <f>SUM(N970:N973)</f>
        <v>2049.3045000000002</v>
      </c>
      <c r="O975" s="19">
        <f>SUM(O970:O973)</f>
        <v>141.34520000000001</v>
      </c>
      <c r="P975" s="19">
        <f>SUM(P970:P973)</f>
        <v>0</v>
      </c>
      <c r="Q975" s="19"/>
      <c r="R975" s="19">
        <f>SUM(R970:R973)</f>
        <v>141.345</v>
      </c>
      <c r="S975" s="19">
        <f>SUM(S970:S973)</f>
        <v>0</v>
      </c>
      <c r="T975" s="19">
        <f>SUM(T970:T973)</f>
        <v>0</v>
      </c>
      <c r="U975" s="19">
        <f>SUM(U970:U973)</f>
        <v>0</v>
      </c>
      <c r="V975" s="19">
        <f>SUM(V970:V973)</f>
        <v>0</v>
      </c>
      <c r="W975" s="19"/>
      <c r="X975" s="19">
        <f>SUM(X970:X973)</f>
        <v>141.34520000000001</v>
      </c>
      <c r="Y975" s="19">
        <f>SUM(Y970:Y973)</f>
        <v>15871.14</v>
      </c>
      <c r="Z975" s="19">
        <f>SUM(Z970:Z973)</f>
        <v>21.97400000000016</v>
      </c>
      <c r="AA975" s="19">
        <f>SUM(AA970:AA973)</f>
        <v>2190.6497000000004</v>
      </c>
      <c r="AB975" s="19">
        <f>SUM(AB970:AB973)</f>
        <v>8702.4656699999996</v>
      </c>
      <c r="AC975" s="19"/>
      <c r="AD975" s="19"/>
      <c r="AE975" s="25" t="s">
        <v>85</v>
      </c>
      <c r="AF975" s="34">
        <f>D899+D909+D919+D928+D941+D952+D959+D971+D979</f>
        <v>20610.118999999999</v>
      </c>
      <c r="AG975" s="34">
        <f>E899+E909+E919+E928+E941+E952+E959+E971+E979</f>
        <v>20610.119500000001</v>
      </c>
      <c r="AH975" s="34">
        <f>F899+F909+F919+F928+F941+F952+F959+F971+F979</f>
        <v>0</v>
      </c>
      <c r="AI975" s="34">
        <f t="shared" ref="AI975:AI982" si="175">+AG975+AH975</f>
        <v>20610.119500000001</v>
      </c>
      <c r="AJ975" s="34">
        <f>L899+L909+L919+L928+L941+L952+L959+L971+L979</f>
        <v>0</v>
      </c>
      <c r="AK975" s="34">
        <f t="shared" ref="AK975:AK982" si="176">+AI975+AJ975</f>
        <v>20610.119500000001</v>
      </c>
      <c r="AL975" s="34">
        <f>O899+O909+O919+O928+O941+O952+O959+O971+O979</f>
        <v>0</v>
      </c>
      <c r="AM975" s="34">
        <f>P899+P909+P919+P928+P941+P952+P959+P971+P979</f>
        <v>0</v>
      </c>
      <c r="AN975" s="34">
        <f t="shared" ref="AN975:AN982" si="177">+AL975+AM975</f>
        <v>0</v>
      </c>
      <c r="AO975" s="34">
        <f>V899+V909+V919+V928+V941+V952+V959+V971+V979</f>
        <v>0</v>
      </c>
      <c r="AP975" s="34">
        <f t="shared" ref="AP975:AP982" si="178">+AN975+AO975</f>
        <v>0</v>
      </c>
      <c r="AQ975" s="34">
        <f t="shared" ref="AQ975:AQ982" si="179">+AI975+AN975</f>
        <v>20610.119500000001</v>
      </c>
      <c r="AR975" s="34">
        <f t="shared" ref="AR975:AR982" si="180">+AF975-AQ975</f>
        <v>-5.0000000192085281E-4</v>
      </c>
      <c r="AS975" s="34">
        <f t="shared" si="174"/>
        <v>813.90499999999997</v>
      </c>
    </row>
    <row r="976" spans="1:45" x14ac:dyDescent="0.2">
      <c r="A976" s="18"/>
      <c r="D976" s="21" t="s">
        <v>57</v>
      </c>
      <c r="E976" s="21" t="s">
        <v>57</v>
      </c>
      <c r="F976" s="21" t="s">
        <v>57</v>
      </c>
      <c r="G976" s="21"/>
      <c r="H976" s="21" t="s">
        <v>57</v>
      </c>
      <c r="I976" s="21" t="s">
        <v>57</v>
      </c>
      <c r="J976" s="21" t="s">
        <v>57</v>
      </c>
      <c r="K976" s="21" t="s">
        <v>57</v>
      </c>
      <c r="L976" s="21" t="s">
        <v>57</v>
      </c>
      <c r="M976" s="21"/>
      <c r="N976" s="21" t="s">
        <v>57</v>
      </c>
      <c r="O976" s="21" t="s">
        <v>57</v>
      </c>
      <c r="P976" s="21" t="s">
        <v>57</v>
      </c>
      <c r="Q976" s="21"/>
      <c r="R976" s="21" t="s">
        <v>57</v>
      </c>
      <c r="S976" s="21" t="s">
        <v>57</v>
      </c>
      <c r="T976" s="21" t="s">
        <v>57</v>
      </c>
      <c r="U976" s="21" t="s">
        <v>57</v>
      </c>
      <c r="V976" s="21" t="s">
        <v>57</v>
      </c>
      <c r="W976" s="21"/>
      <c r="X976" s="21" t="s">
        <v>57</v>
      </c>
      <c r="Y976" s="21" t="s">
        <v>57</v>
      </c>
      <c r="Z976" s="21" t="s">
        <v>57</v>
      </c>
      <c r="AA976" s="21" t="s">
        <v>57</v>
      </c>
      <c r="AB976" s="21" t="s">
        <v>57</v>
      </c>
      <c r="AC976" s="21"/>
      <c r="AD976" s="21"/>
      <c r="AE976" s="25" t="s">
        <v>52</v>
      </c>
      <c r="AF976" s="34">
        <f>D891+D911+D921+D932</f>
        <v>813.90499999999997</v>
      </c>
      <c r="AG976" s="34">
        <f>E891+E911+E921+E932</f>
        <v>0</v>
      </c>
      <c r="AH976" s="34">
        <f>F891+F911+F921+F932</f>
        <v>0</v>
      </c>
      <c r="AI976" s="34">
        <f t="shared" si="175"/>
        <v>0</v>
      </c>
      <c r="AJ976" s="34">
        <f>L891+L911+L921+L932</f>
        <v>0</v>
      </c>
      <c r="AK976" s="34">
        <f t="shared" si="176"/>
        <v>0</v>
      </c>
      <c r="AL976" s="34">
        <f>O891+O911+O921+O932</f>
        <v>0</v>
      </c>
      <c r="AM976" s="34">
        <f>P891+P911+P921+P932</f>
        <v>0</v>
      </c>
      <c r="AN976" s="34">
        <f t="shared" si="177"/>
        <v>0</v>
      </c>
      <c r="AO976" s="34">
        <f>V891+V911+V921+V932</f>
        <v>0</v>
      </c>
      <c r="AP976" s="34">
        <f t="shared" si="178"/>
        <v>0</v>
      </c>
      <c r="AQ976" s="34">
        <f t="shared" si="179"/>
        <v>0</v>
      </c>
      <c r="AR976" s="34">
        <f t="shared" si="180"/>
        <v>813.90499999999997</v>
      </c>
      <c r="AS976" s="34">
        <f t="shared" si="174"/>
        <v>0</v>
      </c>
    </row>
    <row r="977" spans="1:45" x14ac:dyDescent="0.2">
      <c r="A977" s="18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5" t="s">
        <v>87</v>
      </c>
      <c r="AF977" s="34">
        <f>D912+D922+D933</f>
        <v>0</v>
      </c>
      <c r="AG977" s="34">
        <f>E912+E922+E933</f>
        <v>0</v>
      </c>
      <c r="AH977" s="34">
        <f>F912+F922+F933</f>
        <v>0</v>
      </c>
      <c r="AI977" s="34">
        <f t="shared" si="175"/>
        <v>0</v>
      </c>
      <c r="AJ977" s="34">
        <f>L912+L922+L933</f>
        <v>0</v>
      </c>
      <c r="AK977" s="34">
        <f t="shared" si="176"/>
        <v>0</v>
      </c>
      <c r="AL977" s="34">
        <f>O912+O922+O933</f>
        <v>0</v>
      </c>
      <c r="AM977" s="34">
        <f>P912+P922+P933</f>
        <v>0</v>
      </c>
      <c r="AN977" s="34">
        <f t="shared" si="177"/>
        <v>0</v>
      </c>
      <c r="AO977" s="34">
        <f>V912+V922+V933</f>
        <v>0</v>
      </c>
      <c r="AP977" s="34">
        <f t="shared" si="178"/>
        <v>0</v>
      </c>
      <c r="AQ977" s="34">
        <f t="shared" si="179"/>
        <v>0</v>
      </c>
      <c r="AR977" s="34">
        <f t="shared" si="180"/>
        <v>0</v>
      </c>
      <c r="AS977" s="34">
        <f t="shared" si="174"/>
        <v>5545.6998000000003</v>
      </c>
    </row>
    <row r="978" spans="1:45" x14ac:dyDescent="0.2">
      <c r="A978" s="18">
        <v>75</v>
      </c>
      <c r="B978" s="17" t="s">
        <v>296</v>
      </c>
      <c r="C978" s="17" t="s">
        <v>51</v>
      </c>
      <c r="D978" s="19">
        <f>3253335/1000</f>
        <v>3253.335</v>
      </c>
      <c r="E978" s="19">
        <f>[1]TOBEPAID!E748/1000</f>
        <v>0</v>
      </c>
      <c r="F978" s="19">
        <f>[1]TOBEPAID!F748/1000</f>
        <v>0</v>
      </c>
      <c r="G978" s="19">
        <f>[1]TOBEPAID!G748/1000</f>
        <v>0</v>
      </c>
      <c r="H978" s="19">
        <f>775227/1000</f>
        <v>775.22699999999998</v>
      </c>
      <c r="I978" s="19">
        <f>[1]TOBEPAID!I748/1000</f>
        <v>0</v>
      </c>
      <c r="J978" s="19">
        <f>[1]TOBEPAID!J748/1000</f>
        <v>0</v>
      </c>
      <c r="K978" s="19">
        <f>[1]TOBEPAID!K748/1000</f>
        <v>0</v>
      </c>
      <c r="L978" s="19">
        <f>[1]TOBEPAID!L748/1000</f>
        <v>0</v>
      </c>
      <c r="M978" s="19">
        <f>[1]TOBEPAID!M748/1000</f>
        <v>0</v>
      </c>
      <c r="N978" s="19">
        <f>[1]TOBEPAID!N748/1000</f>
        <v>0</v>
      </c>
      <c r="O978" s="19">
        <f>[1]TOBEPAID!O748/1000</f>
        <v>0</v>
      </c>
      <c r="P978" s="19">
        <f>[1]TOBEPAID!P748/1000</f>
        <v>0</v>
      </c>
      <c r="Q978" s="19">
        <f>[1]TOBEPAID!Q748/1000</f>
        <v>0</v>
      </c>
      <c r="R978" s="19">
        <v>0</v>
      </c>
      <c r="S978" s="19">
        <f>[1]TOBEPAID!S748/1000</f>
        <v>0</v>
      </c>
      <c r="T978" s="19">
        <f>[1]TOBEPAID!T748/1000</f>
        <v>0</v>
      </c>
      <c r="U978" s="19">
        <f>[1]TOBEPAID!U748/1000</f>
        <v>0</v>
      </c>
      <c r="V978" s="19">
        <f>[1]TOBEPAID!V748/1000</f>
        <v>0</v>
      </c>
      <c r="W978" s="19">
        <f>[1]TOBEPAID!W748/1000</f>
        <v>0</v>
      </c>
      <c r="X978" s="19">
        <f>[1]TOBEPAID!X748/1000</f>
        <v>0</v>
      </c>
      <c r="Y978" s="19">
        <f>+H978+R978</f>
        <v>775.22699999999998</v>
      </c>
      <c r="Z978" s="19">
        <f>+D978-Y978</f>
        <v>2478.1080000000002</v>
      </c>
      <c r="AA978" s="19">
        <f>[1]TOBEPAID!AA748/1000</f>
        <v>0</v>
      </c>
      <c r="AB978" s="19">
        <f>[1]TOBEPAID!AB748/1000</f>
        <v>3253.3356400000002</v>
      </c>
      <c r="AC978" s="19"/>
      <c r="AD978" s="19"/>
      <c r="AE978" s="25" t="s">
        <v>88</v>
      </c>
      <c r="AF978" s="34">
        <f>D892+D965+D973</f>
        <v>5687.0450000000001</v>
      </c>
      <c r="AG978" s="34">
        <f>E892+E965+E973</f>
        <v>0</v>
      </c>
      <c r="AH978" s="34">
        <f>F892+F965+F973</f>
        <v>0</v>
      </c>
      <c r="AI978" s="34">
        <f t="shared" si="175"/>
        <v>0</v>
      </c>
      <c r="AJ978" s="34">
        <f>L892+L965+L973</f>
        <v>0</v>
      </c>
      <c r="AK978" s="34">
        <f t="shared" si="176"/>
        <v>0</v>
      </c>
      <c r="AL978" s="34">
        <f>O892+O965+O973</f>
        <v>141.34520000000001</v>
      </c>
      <c r="AM978" s="34">
        <f>P892+P965+P973</f>
        <v>0</v>
      </c>
      <c r="AN978" s="34">
        <f t="shared" si="177"/>
        <v>141.34520000000001</v>
      </c>
      <c r="AO978" s="34">
        <f>V892+V965+V973</f>
        <v>0</v>
      </c>
      <c r="AP978" s="34">
        <f t="shared" si="178"/>
        <v>141.34520000000001</v>
      </c>
      <c r="AQ978" s="34">
        <f t="shared" si="179"/>
        <v>141.34520000000001</v>
      </c>
      <c r="AR978" s="34">
        <f t="shared" si="180"/>
        <v>5545.6998000000003</v>
      </c>
      <c r="AS978" s="34">
        <f t="shared" si="174"/>
        <v>799.08299999999997</v>
      </c>
    </row>
    <row r="979" spans="1:45" x14ac:dyDescent="0.2">
      <c r="A979" s="18"/>
      <c r="C979" s="20" t="s">
        <v>52</v>
      </c>
      <c r="D979" s="19">
        <f>4867890/1000</f>
        <v>4867.8900000000003</v>
      </c>
      <c r="E979" s="19">
        <f>[1]TOBEPAID!E749/1000</f>
        <v>4867.8900000000003</v>
      </c>
      <c r="F979" s="19">
        <f>[1]TOBEPAID!F749/1000</f>
        <v>0</v>
      </c>
      <c r="G979" s="19">
        <f>[1]TOBEPAID!G749/1000</f>
        <v>0</v>
      </c>
      <c r="H979" s="19">
        <f>4867890/1000</f>
        <v>4867.8900000000003</v>
      </c>
      <c r="I979" s="19">
        <f>[1]TOBEPAID!I749/1000</f>
        <v>0</v>
      </c>
      <c r="J979" s="19">
        <f>[1]TOBEPAID!J749/1000</f>
        <v>0</v>
      </c>
      <c r="K979" s="19">
        <f>[1]TOBEPAID!K749/1000</f>
        <v>0</v>
      </c>
      <c r="L979" s="19">
        <f>[1]TOBEPAID!L749/1000</f>
        <v>0</v>
      </c>
      <c r="M979" s="19">
        <f>[1]TOBEPAID!M749/1000</f>
        <v>0</v>
      </c>
      <c r="N979" s="19">
        <f>[1]TOBEPAID!N749/1000</f>
        <v>4867.8900000000003</v>
      </c>
      <c r="O979" s="19">
        <f>[1]TOBEPAID!O749/1000</f>
        <v>0</v>
      </c>
      <c r="P979" s="19">
        <f>[1]TOBEPAID!P749/1000</f>
        <v>0</v>
      </c>
      <c r="Q979" s="19">
        <f>[1]TOBEPAID!Q749/1000</f>
        <v>0</v>
      </c>
      <c r="R979" s="19">
        <v>0</v>
      </c>
      <c r="S979" s="19">
        <f>[1]TOBEPAID!S749/1000</f>
        <v>0</v>
      </c>
      <c r="T979" s="19">
        <f>[1]TOBEPAID!T749/1000</f>
        <v>0</v>
      </c>
      <c r="U979" s="19">
        <f>[1]TOBEPAID!U749/1000</f>
        <v>0</v>
      </c>
      <c r="V979" s="19">
        <f>[1]TOBEPAID!V749/1000</f>
        <v>0</v>
      </c>
      <c r="W979" s="19">
        <f>[1]TOBEPAID!W749/1000</f>
        <v>0</v>
      </c>
      <c r="X979" s="19">
        <f>[1]TOBEPAID!X749/1000</f>
        <v>0</v>
      </c>
      <c r="Y979" s="19">
        <f>+H979+R979</f>
        <v>4867.8900000000003</v>
      </c>
      <c r="Z979" s="19">
        <f>+D979-Y979</f>
        <v>0</v>
      </c>
      <c r="AA979" s="19">
        <f>[1]TOBEPAID!AA749/1000</f>
        <v>4867.8900000000003</v>
      </c>
      <c r="AB979" s="19">
        <f>[1]TOBEPAID!AB749/1000</f>
        <v>0</v>
      </c>
      <c r="AC979" s="19"/>
      <c r="AD979" s="19"/>
      <c r="AE979" s="25" t="s">
        <v>55</v>
      </c>
      <c r="AF979" s="34">
        <f>D901+D953</f>
        <v>799.08299999999997</v>
      </c>
      <c r="AG979" s="34">
        <f>E901+E953</f>
        <v>0</v>
      </c>
      <c r="AH979" s="34">
        <f>F901+F953</f>
        <v>0</v>
      </c>
      <c r="AI979" s="34">
        <f t="shared" si="175"/>
        <v>0</v>
      </c>
      <c r="AJ979" s="34">
        <f>L901+L953</f>
        <v>0</v>
      </c>
      <c r="AK979" s="34">
        <f t="shared" si="176"/>
        <v>0</v>
      </c>
      <c r="AL979" s="34">
        <f>O901+O953</f>
        <v>0</v>
      </c>
      <c r="AM979" s="34">
        <f>P901+P953</f>
        <v>0</v>
      </c>
      <c r="AN979" s="34">
        <f t="shared" si="177"/>
        <v>0</v>
      </c>
      <c r="AO979" s="34">
        <f>V901+V953</f>
        <v>0</v>
      </c>
      <c r="AP979" s="34">
        <f t="shared" si="178"/>
        <v>0</v>
      </c>
      <c r="AQ979" s="34">
        <f t="shared" si="179"/>
        <v>0</v>
      </c>
      <c r="AR979" s="34">
        <f t="shared" si="180"/>
        <v>799.08299999999997</v>
      </c>
      <c r="AS979" s="34">
        <f t="shared" si="174"/>
        <v>2011.6394100000007</v>
      </c>
    </row>
    <row r="980" spans="1:45" x14ac:dyDescent="0.2">
      <c r="A980" s="18"/>
      <c r="D980" s="21" t="s">
        <v>57</v>
      </c>
      <c r="E980" s="21" t="s">
        <v>57</v>
      </c>
      <c r="F980" s="21" t="s">
        <v>57</v>
      </c>
      <c r="G980" s="21"/>
      <c r="H980" s="21" t="s">
        <v>57</v>
      </c>
      <c r="I980" s="21" t="s">
        <v>57</v>
      </c>
      <c r="J980" s="21" t="s">
        <v>57</v>
      </c>
      <c r="K980" s="21" t="s">
        <v>57</v>
      </c>
      <c r="L980" s="21" t="s">
        <v>57</v>
      </c>
      <c r="M980" s="21"/>
      <c r="N980" s="21" t="s">
        <v>57</v>
      </c>
      <c r="O980" s="21" t="s">
        <v>57</v>
      </c>
      <c r="P980" s="21" t="s">
        <v>57</v>
      </c>
      <c r="Q980" s="21"/>
      <c r="R980" s="21" t="s">
        <v>57</v>
      </c>
      <c r="S980" s="21" t="s">
        <v>57</v>
      </c>
      <c r="T980" s="21" t="s">
        <v>57</v>
      </c>
      <c r="U980" s="21" t="s">
        <v>57</v>
      </c>
      <c r="V980" s="21" t="s">
        <v>57</v>
      </c>
      <c r="W980" s="21"/>
      <c r="X980" s="21" t="s">
        <v>57</v>
      </c>
      <c r="Y980" s="21" t="s">
        <v>57</v>
      </c>
      <c r="Z980" s="21" t="s">
        <v>57</v>
      </c>
      <c r="AA980" s="21" t="s">
        <v>57</v>
      </c>
      <c r="AB980" s="21" t="s">
        <v>57</v>
      </c>
      <c r="AC980" s="21"/>
      <c r="AD980" s="21"/>
      <c r="AE980" s="25" t="s">
        <v>202</v>
      </c>
      <c r="AF980" s="34">
        <f t="shared" ref="AF980:AH981" si="181">D902+D944</f>
        <v>7022.7060000000001</v>
      </c>
      <c r="AG980" s="34">
        <f t="shared" si="181"/>
        <v>0</v>
      </c>
      <c r="AH980" s="34">
        <f t="shared" si="181"/>
        <v>0</v>
      </c>
      <c r="AI980" s="34">
        <f t="shared" si="175"/>
        <v>0</v>
      </c>
      <c r="AJ980" s="34">
        <f>L902+L944</f>
        <v>0</v>
      </c>
      <c r="AK980" s="34">
        <f t="shared" si="176"/>
        <v>0</v>
      </c>
      <c r="AL980" s="34">
        <f>O902+O944</f>
        <v>5011.0665899999995</v>
      </c>
      <c r="AM980" s="34">
        <f>P902+P944</f>
        <v>0</v>
      </c>
      <c r="AN980" s="34">
        <f t="shared" si="177"/>
        <v>5011.0665899999995</v>
      </c>
      <c r="AO980" s="34">
        <f>V902+V944</f>
        <v>0</v>
      </c>
      <c r="AP980" s="34">
        <f t="shared" si="178"/>
        <v>5011.0665899999995</v>
      </c>
      <c r="AQ980" s="34">
        <f t="shared" si="179"/>
        <v>5011.0665899999995</v>
      </c>
      <c r="AR980" s="34">
        <f t="shared" si="180"/>
        <v>2011.6394100000007</v>
      </c>
      <c r="AS980" s="34">
        <f t="shared" si="174"/>
        <v>6528.4437400000006</v>
      </c>
    </row>
    <row r="981" spans="1:45" x14ac:dyDescent="0.2">
      <c r="A981" s="18"/>
      <c r="D981" s="19">
        <f>D978+D979</f>
        <v>8121.2250000000004</v>
      </c>
      <c r="E981" s="19">
        <f>E978+E979</f>
        <v>4867.8900000000003</v>
      </c>
      <c r="F981" s="19">
        <f>F978+F979</f>
        <v>0</v>
      </c>
      <c r="G981" s="19"/>
      <c r="H981" s="19">
        <f>H978+H979</f>
        <v>5643.1170000000002</v>
      </c>
      <c r="I981" s="19">
        <f>I978+I979</f>
        <v>0</v>
      </c>
      <c r="J981" s="19">
        <f>J978+J979</f>
        <v>0</v>
      </c>
      <c r="K981" s="19">
        <f>K978+K979</f>
        <v>0</v>
      </c>
      <c r="L981" s="19">
        <f>L978+L979</f>
        <v>0</v>
      </c>
      <c r="M981" s="19"/>
      <c r="N981" s="19">
        <f>N978+N979</f>
        <v>4867.8900000000003</v>
      </c>
      <c r="O981" s="19">
        <f>O978+O979</f>
        <v>0</v>
      </c>
      <c r="P981" s="19">
        <f>P978+P979</f>
        <v>0</v>
      </c>
      <c r="Q981" s="19"/>
      <c r="R981" s="19">
        <f>R978+R979</f>
        <v>0</v>
      </c>
      <c r="S981" s="19">
        <f>S978+S979</f>
        <v>0</v>
      </c>
      <c r="T981" s="19">
        <f>T978+T979</f>
        <v>0</v>
      </c>
      <c r="U981" s="19">
        <f>U978+U979</f>
        <v>0</v>
      </c>
      <c r="V981" s="19">
        <f>V978+V979</f>
        <v>0</v>
      </c>
      <c r="W981" s="19"/>
      <c r="X981" s="19">
        <f>X978+X979</f>
        <v>0</v>
      </c>
      <c r="Y981" s="19">
        <f>Y978+Y979</f>
        <v>5643.1170000000002</v>
      </c>
      <c r="Z981" s="19">
        <f>Z978+Z979</f>
        <v>2478.1080000000002</v>
      </c>
      <c r="AA981" s="19">
        <f>AA978+AA979</f>
        <v>4867.8900000000003</v>
      </c>
      <c r="AB981" s="19">
        <f>AB978+AB979</f>
        <v>3253.3356400000002</v>
      </c>
      <c r="AC981" s="19"/>
      <c r="AD981" s="19"/>
      <c r="AE981" s="25" t="s">
        <v>96</v>
      </c>
      <c r="AF981" s="34">
        <f t="shared" si="181"/>
        <v>12132.34</v>
      </c>
      <c r="AG981" s="34">
        <f t="shared" si="181"/>
        <v>0</v>
      </c>
      <c r="AH981" s="34">
        <f t="shared" si="181"/>
        <v>0</v>
      </c>
      <c r="AI981" s="34">
        <f t="shared" si="175"/>
        <v>0</v>
      </c>
      <c r="AJ981" s="34">
        <f>L903+L945</f>
        <v>0</v>
      </c>
      <c r="AK981" s="34">
        <f t="shared" si="176"/>
        <v>0</v>
      </c>
      <c r="AL981" s="34">
        <f>O903+O945</f>
        <v>5603.8962599999995</v>
      </c>
      <c r="AM981" s="34">
        <f>P903+P945</f>
        <v>0</v>
      </c>
      <c r="AN981" s="34">
        <f t="shared" si="177"/>
        <v>5603.8962599999995</v>
      </c>
      <c r="AO981" s="34">
        <f>V903+V945</f>
        <v>0</v>
      </c>
      <c r="AP981" s="34">
        <f t="shared" si="178"/>
        <v>5603.8962599999995</v>
      </c>
      <c r="AQ981" s="34">
        <f t="shared" si="179"/>
        <v>5603.8962599999995</v>
      </c>
      <c r="AR981" s="34">
        <f t="shared" si="180"/>
        <v>6528.4437400000006</v>
      </c>
      <c r="AS981" s="34">
        <f t="shared" si="174"/>
        <v>0</v>
      </c>
    </row>
    <row r="982" spans="1:45" x14ac:dyDescent="0.2">
      <c r="A982" s="18"/>
      <c r="D982" s="21" t="s">
        <v>57</v>
      </c>
      <c r="E982" s="21" t="s">
        <v>57</v>
      </c>
      <c r="F982" s="21" t="s">
        <v>57</v>
      </c>
      <c r="G982" s="21"/>
      <c r="H982" s="21" t="s">
        <v>57</v>
      </c>
      <c r="I982" s="21" t="s">
        <v>57</v>
      </c>
      <c r="J982" s="21" t="s">
        <v>57</v>
      </c>
      <c r="K982" s="21" t="s">
        <v>57</v>
      </c>
      <c r="L982" s="21" t="s">
        <v>57</v>
      </c>
      <c r="M982" s="21"/>
      <c r="N982" s="21" t="s">
        <v>57</v>
      </c>
      <c r="O982" s="21" t="s">
        <v>57</v>
      </c>
      <c r="P982" s="21" t="s">
        <v>57</v>
      </c>
      <c r="Q982" s="21"/>
      <c r="R982" s="21" t="s">
        <v>57</v>
      </c>
      <c r="S982" s="21" t="s">
        <v>57</v>
      </c>
      <c r="T982" s="21" t="s">
        <v>57</v>
      </c>
      <c r="U982" s="21" t="s">
        <v>57</v>
      </c>
      <c r="V982" s="21" t="s">
        <v>57</v>
      </c>
      <c r="W982" s="21"/>
      <c r="X982" s="21" t="s">
        <v>57</v>
      </c>
      <c r="Y982" s="21" t="s">
        <v>57</v>
      </c>
      <c r="Z982" s="21" t="s">
        <v>57</v>
      </c>
      <c r="AA982" s="21" t="s">
        <v>57</v>
      </c>
      <c r="AB982" s="21" t="s">
        <v>57</v>
      </c>
      <c r="AC982" s="21"/>
      <c r="AD982" s="21"/>
      <c r="AE982" s="25" t="s">
        <v>97</v>
      </c>
      <c r="AF982" s="34">
        <f>+D913</f>
        <v>3406.1239999999998</v>
      </c>
      <c r="AG982" s="34">
        <f>+E913</f>
        <v>3406.1239999999998</v>
      </c>
      <c r="AH982" s="34">
        <f>+F913</f>
        <v>0</v>
      </c>
      <c r="AI982" s="34">
        <f t="shared" si="175"/>
        <v>3406.1239999999998</v>
      </c>
      <c r="AJ982" s="34">
        <f>+L913</f>
        <v>0</v>
      </c>
      <c r="AK982" s="34">
        <f t="shared" si="176"/>
        <v>3406.1239999999998</v>
      </c>
      <c r="AL982" s="34">
        <f>+O913</f>
        <v>0</v>
      </c>
      <c r="AM982" s="34">
        <f>+P913</f>
        <v>0</v>
      </c>
      <c r="AN982" s="34">
        <f t="shared" si="177"/>
        <v>0</v>
      </c>
      <c r="AO982" s="34">
        <f>+V913</f>
        <v>0</v>
      </c>
      <c r="AP982" s="34">
        <f t="shared" si="178"/>
        <v>0</v>
      </c>
      <c r="AQ982" s="34">
        <f t="shared" si="179"/>
        <v>3406.1239999999998</v>
      </c>
      <c r="AR982" s="34">
        <f t="shared" si="180"/>
        <v>0</v>
      </c>
      <c r="AS982" s="34">
        <f>SUM(AS969:AS981)</f>
        <v>141297.70053999999</v>
      </c>
    </row>
    <row r="983" spans="1:45" x14ac:dyDescent="0.2">
      <c r="A983" s="18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5"/>
      <c r="AF983" s="34"/>
      <c r="AG983" s="34"/>
      <c r="AH983" s="34"/>
      <c r="AI983" s="34"/>
      <c r="AJ983" s="34"/>
      <c r="AK983" s="34"/>
      <c r="AL983" s="34"/>
      <c r="AM983" s="34"/>
      <c r="AN983" s="34"/>
      <c r="AO983" s="34"/>
      <c r="AP983" s="34"/>
      <c r="AQ983" s="34"/>
      <c r="AR983" s="34"/>
      <c r="AS983" s="34"/>
    </row>
    <row r="984" spans="1:45" x14ac:dyDescent="0.2">
      <c r="A984" s="18"/>
      <c r="B984" s="3" t="s">
        <v>297</v>
      </c>
      <c r="C984" s="17" t="s">
        <v>51</v>
      </c>
      <c r="D984" s="35">
        <f>6505000/1000</f>
        <v>6505</v>
      </c>
      <c r="E984" s="35"/>
      <c r="F984" s="35"/>
      <c r="G984" s="35"/>
      <c r="H984" s="35">
        <f>145954.98/1000</f>
        <v>145.95498000000001</v>
      </c>
      <c r="I984" s="35"/>
      <c r="J984" s="35"/>
      <c r="K984" s="35"/>
      <c r="L984" s="35"/>
      <c r="M984" s="35"/>
      <c r="N984" s="35"/>
      <c r="O984" s="35"/>
      <c r="P984" s="35"/>
      <c r="Q984" s="35"/>
      <c r="R984" s="35">
        <v>0</v>
      </c>
      <c r="S984" s="35"/>
      <c r="T984" s="35"/>
      <c r="U984" s="35"/>
      <c r="V984" s="35"/>
      <c r="W984" s="35"/>
      <c r="X984" s="35"/>
      <c r="Y984" s="35">
        <f>+H984+R984</f>
        <v>145.95498000000001</v>
      </c>
      <c r="Z984" s="35">
        <f>+D984-Y984</f>
        <v>6359.0450199999996</v>
      </c>
      <c r="AA984" s="21"/>
      <c r="AB984" s="21"/>
      <c r="AC984" s="21"/>
      <c r="AD984" s="21"/>
      <c r="AE984" s="25"/>
      <c r="AF984" s="34"/>
      <c r="AG984" s="34"/>
      <c r="AH984" s="34"/>
      <c r="AI984" s="34"/>
      <c r="AJ984" s="34"/>
      <c r="AK984" s="34"/>
      <c r="AL984" s="34"/>
      <c r="AM984" s="34"/>
      <c r="AN984" s="34"/>
      <c r="AO984" s="34"/>
      <c r="AP984" s="34"/>
      <c r="AQ984" s="34"/>
      <c r="AR984" s="34"/>
      <c r="AS984" s="34"/>
    </row>
    <row r="985" spans="1:45" x14ac:dyDescent="0.2">
      <c r="A985" s="18"/>
      <c r="D985" s="21" t="s">
        <v>57</v>
      </c>
      <c r="E985" s="21" t="s">
        <v>57</v>
      </c>
      <c r="F985" s="21" t="s">
        <v>57</v>
      </c>
      <c r="G985" s="21"/>
      <c r="H985" s="21" t="s">
        <v>57</v>
      </c>
      <c r="I985" s="21" t="s">
        <v>57</v>
      </c>
      <c r="J985" s="21" t="s">
        <v>57</v>
      </c>
      <c r="K985" s="21" t="s">
        <v>57</v>
      </c>
      <c r="L985" s="21" t="s">
        <v>57</v>
      </c>
      <c r="M985" s="21"/>
      <c r="N985" s="21" t="s">
        <v>57</v>
      </c>
      <c r="O985" s="21" t="s">
        <v>57</v>
      </c>
      <c r="P985" s="21" t="s">
        <v>57</v>
      </c>
      <c r="Q985" s="21"/>
      <c r="R985" s="21" t="s">
        <v>57</v>
      </c>
      <c r="S985" s="21" t="s">
        <v>57</v>
      </c>
      <c r="T985" s="21" t="s">
        <v>57</v>
      </c>
      <c r="U985" s="21" t="s">
        <v>57</v>
      </c>
      <c r="V985" s="21" t="s">
        <v>57</v>
      </c>
      <c r="W985" s="21"/>
      <c r="X985" s="21" t="s">
        <v>57</v>
      </c>
      <c r="Y985" s="21" t="s">
        <v>57</v>
      </c>
      <c r="Z985" s="21" t="s">
        <v>57</v>
      </c>
      <c r="AA985" s="21"/>
      <c r="AB985" s="21"/>
      <c r="AC985" s="21"/>
      <c r="AD985" s="21"/>
      <c r="AE985" s="25"/>
      <c r="AF985" s="34"/>
      <c r="AG985" s="34"/>
      <c r="AH985" s="34"/>
      <c r="AI985" s="34"/>
      <c r="AJ985" s="34"/>
      <c r="AK985" s="34"/>
      <c r="AL985" s="34"/>
      <c r="AM985" s="34"/>
      <c r="AN985" s="34"/>
      <c r="AO985" s="34"/>
      <c r="AP985" s="34"/>
      <c r="AQ985" s="34"/>
      <c r="AR985" s="34"/>
      <c r="AS985" s="34"/>
    </row>
    <row r="986" spans="1:45" x14ac:dyDescent="0.2">
      <c r="A986" s="18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5" t="s">
        <v>120</v>
      </c>
      <c r="AF986" s="34">
        <f t="shared" ref="AF986:AR986" si="182">SUM(AF970:AF982)</f>
        <v>197862.33305000004</v>
      </c>
      <c r="AG986" s="34">
        <f t="shared" si="182"/>
        <v>40516.243499999997</v>
      </c>
      <c r="AH986" s="34">
        <f t="shared" si="182"/>
        <v>1500</v>
      </c>
      <c r="AI986" s="34">
        <f t="shared" si="182"/>
        <v>42016.243499999997</v>
      </c>
      <c r="AJ986" s="34">
        <f t="shared" si="182"/>
        <v>0</v>
      </c>
      <c r="AK986" s="34">
        <f t="shared" si="182"/>
        <v>42016.243499999997</v>
      </c>
      <c r="AL986" s="34">
        <f t="shared" si="182"/>
        <v>14548.389009999999</v>
      </c>
      <c r="AM986" s="34">
        <f t="shared" si="182"/>
        <v>0</v>
      </c>
      <c r="AN986" s="34">
        <f t="shared" si="182"/>
        <v>14548.389009999999</v>
      </c>
      <c r="AO986" s="34">
        <f t="shared" si="182"/>
        <v>0</v>
      </c>
      <c r="AP986" s="34">
        <f t="shared" si="182"/>
        <v>14548.389009999999</v>
      </c>
      <c r="AQ986" s="34">
        <f t="shared" si="182"/>
        <v>56564.63251000001</v>
      </c>
      <c r="AR986" s="34">
        <f t="shared" si="182"/>
        <v>141297.70053999999</v>
      </c>
    </row>
    <row r="987" spans="1:45" x14ac:dyDescent="0.2">
      <c r="A987" s="18"/>
      <c r="B987" s="8" t="s">
        <v>29</v>
      </c>
      <c r="C987" s="8" t="s">
        <v>281</v>
      </c>
      <c r="D987" s="19">
        <f>D981+D975+D967+D947+D935+D924+D915+D905+D894+D955+D984</f>
        <v>876955.34986999992</v>
      </c>
      <c r="E987" s="19">
        <f>E981+E975+E967+E947+E935+E924+E915+E905+E894+E955</f>
        <v>40516.243499999997</v>
      </c>
      <c r="F987" s="19">
        <f>F981+F975+F967+F947+F935+F924+F915+F905+F894+F955</f>
        <v>1500</v>
      </c>
      <c r="G987" s="19"/>
      <c r="H987" s="19">
        <f t="shared" ref="H987:Z987" si="183">H981+H975+H967+H947+H935+H924+H915+H905+H894+H955+H984</f>
        <v>580815.17465000006</v>
      </c>
      <c r="I987" s="19">
        <f t="shared" si="183"/>
        <v>0</v>
      </c>
      <c r="J987" s="19">
        <f t="shared" si="183"/>
        <v>0</v>
      </c>
      <c r="K987" s="19">
        <f t="shared" si="183"/>
        <v>0</v>
      </c>
      <c r="L987" s="19">
        <f t="shared" si="183"/>
        <v>0</v>
      </c>
      <c r="M987" s="19">
        <f t="shared" si="183"/>
        <v>0</v>
      </c>
      <c r="N987" s="19">
        <f t="shared" si="183"/>
        <v>42016.243499999997</v>
      </c>
      <c r="O987" s="19">
        <f t="shared" si="183"/>
        <v>14548.389009999999</v>
      </c>
      <c r="P987" s="19">
        <f t="shared" si="183"/>
        <v>0</v>
      </c>
      <c r="Q987" s="19">
        <f t="shared" si="183"/>
        <v>0</v>
      </c>
      <c r="R987" s="19">
        <f t="shared" si="183"/>
        <v>14548.411899999999</v>
      </c>
      <c r="S987" s="19">
        <f t="shared" si="183"/>
        <v>0</v>
      </c>
      <c r="T987" s="19">
        <f t="shared" si="183"/>
        <v>0</v>
      </c>
      <c r="U987" s="19">
        <f t="shared" si="183"/>
        <v>0</v>
      </c>
      <c r="V987" s="19">
        <f t="shared" si="183"/>
        <v>0</v>
      </c>
      <c r="W987" s="19">
        <f t="shared" si="183"/>
        <v>0</v>
      </c>
      <c r="X987" s="19">
        <f t="shared" si="183"/>
        <v>14548.389009999999</v>
      </c>
      <c r="Y987" s="19">
        <f t="shared" si="183"/>
        <v>595363.58655000001</v>
      </c>
      <c r="Z987" s="19">
        <f t="shared" si="183"/>
        <v>281591.76332000003</v>
      </c>
      <c r="AA987" s="19">
        <f>AA981+AA975+AA967+AA947+AA935+AA924+AA915+AA905+AA894+AA955</f>
        <v>56564.632510000003</v>
      </c>
      <c r="AB987" s="19">
        <f>AB981+AB975+AB967+AB947+AB935+AB924+AB915+AB905+AB894+AB955</f>
        <v>131444.87508999999</v>
      </c>
      <c r="AC987" s="19"/>
      <c r="AD987" s="19"/>
    </row>
    <row r="988" spans="1:45" x14ac:dyDescent="0.2">
      <c r="A988" s="18"/>
      <c r="D988" s="21" t="s">
        <v>93</v>
      </c>
      <c r="E988" s="21" t="s">
        <v>93</v>
      </c>
      <c r="F988" s="21" t="s">
        <v>93</v>
      </c>
      <c r="G988" s="21"/>
      <c r="H988" s="21" t="s">
        <v>93</v>
      </c>
      <c r="I988" s="21" t="s">
        <v>93</v>
      </c>
      <c r="J988" s="21" t="s">
        <v>93</v>
      </c>
      <c r="K988" s="21" t="s">
        <v>93</v>
      </c>
      <c r="L988" s="21" t="s">
        <v>93</v>
      </c>
      <c r="M988" s="21"/>
      <c r="N988" s="21" t="s">
        <v>93</v>
      </c>
      <c r="O988" s="21" t="s">
        <v>93</v>
      </c>
      <c r="P988" s="21" t="s">
        <v>93</v>
      </c>
      <c r="Q988" s="21"/>
      <c r="R988" s="21" t="s">
        <v>93</v>
      </c>
      <c r="S988" s="21" t="s">
        <v>93</v>
      </c>
      <c r="T988" s="21" t="s">
        <v>93</v>
      </c>
      <c r="U988" s="21" t="s">
        <v>93</v>
      </c>
      <c r="V988" s="21" t="s">
        <v>93</v>
      </c>
      <c r="W988" s="21"/>
      <c r="X988" s="21" t="s">
        <v>93</v>
      </c>
      <c r="Y988" s="21" t="s">
        <v>93</v>
      </c>
      <c r="Z988" s="21" t="s">
        <v>93</v>
      </c>
      <c r="AA988" s="21" t="s">
        <v>93</v>
      </c>
      <c r="AB988" s="21" t="s">
        <v>93</v>
      </c>
      <c r="AC988" s="21"/>
      <c r="AD988" s="21"/>
      <c r="AF988" s="34"/>
    </row>
    <row r="989" spans="1:45" x14ac:dyDescent="0.2">
      <c r="A989" s="18"/>
      <c r="C989" s="25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</row>
    <row r="990" spans="1:45" x14ac:dyDescent="0.2">
      <c r="A990" s="18"/>
      <c r="B990" s="3" t="s">
        <v>298</v>
      </c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</row>
    <row r="991" spans="1:45" x14ac:dyDescent="0.2">
      <c r="A991" s="18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</row>
    <row r="992" spans="1:45" x14ac:dyDescent="0.2">
      <c r="A992" s="18">
        <v>76</v>
      </c>
      <c r="B992" s="3" t="s">
        <v>299</v>
      </c>
      <c r="C992" s="17" t="s">
        <v>51</v>
      </c>
      <c r="D992" s="19">
        <f>11666401/1000</f>
        <v>11666.401</v>
      </c>
      <c r="E992" s="19">
        <f>[1]TOBEPAID!E759/1000</f>
        <v>0</v>
      </c>
      <c r="F992" s="19">
        <f>[1]TOBEPAID!F759/1000</f>
        <v>0</v>
      </c>
      <c r="G992" s="19">
        <f>[1]TOBEPAID!G759/1000</f>
        <v>0</v>
      </c>
      <c r="H992" s="19">
        <f>11666401/1000</f>
        <v>11666.401</v>
      </c>
      <c r="I992" s="19">
        <f>[1]TOBEPAID!I759/1000</f>
        <v>0</v>
      </c>
      <c r="J992" s="19">
        <f>[1]TOBEPAID!J759/1000</f>
        <v>0</v>
      </c>
      <c r="K992" s="19">
        <f>[1]TOBEPAID!K759/1000</f>
        <v>0</v>
      </c>
      <c r="L992" s="19">
        <f>[1]TOBEPAID!L759/1000</f>
        <v>0</v>
      </c>
      <c r="M992" s="19">
        <f>[1]TOBEPAID!M759/1000</f>
        <v>0</v>
      </c>
      <c r="N992" s="19">
        <f>[1]TOBEPAID!N759/1000</f>
        <v>0</v>
      </c>
      <c r="O992" s="19">
        <f>[1]TOBEPAID!O759/1000</f>
        <v>0</v>
      </c>
      <c r="P992" s="19">
        <f>[1]TOBEPAID!P759/1000</f>
        <v>0</v>
      </c>
      <c r="Q992" s="19">
        <f>[1]TOBEPAID!Q759/1000</f>
        <v>0</v>
      </c>
      <c r="R992" s="19">
        <v>0</v>
      </c>
      <c r="S992" s="19">
        <f>[1]TOBEPAID!S759/1000</f>
        <v>0</v>
      </c>
      <c r="T992" s="19">
        <f>[1]TOBEPAID!T759/1000</f>
        <v>0</v>
      </c>
      <c r="U992" s="19">
        <f>[1]TOBEPAID!U759/1000</f>
        <v>0</v>
      </c>
      <c r="V992" s="19">
        <f>[1]TOBEPAID!V759/1000</f>
        <v>0</v>
      </c>
      <c r="W992" s="19">
        <f>[1]TOBEPAID!W759/1000</f>
        <v>0</v>
      </c>
      <c r="X992" s="19">
        <f>[1]TOBEPAID!X759/1000</f>
        <v>0</v>
      </c>
      <c r="Y992" s="19">
        <f>+H992+R992</f>
        <v>11666.401</v>
      </c>
      <c r="Z992" s="19">
        <f t="shared" ref="Z992:Z1001" si="184">+D992-Y992</f>
        <v>0</v>
      </c>
      <c r="AA992" s="19">
        <f>[1]TOBEPAID!AA759/1000</f>
        <v>0</v>
      </c>
      <c r="AB992" s="19">
        <f>[1]TOBEPAID!AB759/1000</f>
        <v>0</v>
      </c>
      <c r="AC992" s="19"/>
      <c r="AD992" s="19"/>
    </row>
    <row r="993" spans="1:31" x14ac:dyDescent="0.2">
      <c r="A993" s="18"/>
      <c r="C993" s="3" t="s">
        <v>52</v>
      </c>
      <c r="D993" s="19">
        <f>1870946/1000</f>
        <v>1870.9459999999999</v>
      </c>
      <c r="E993" s="19">
        <f>[1]TOBEPAID!E760/1000</f>
        <v>1870.9459999999999</v>
      </c>
      <c r="F993" s="19">
        <f>[1]TOBEPAID!F760/1000</f>
        <v>0</v>
      </c>
      <c r="G993" s="19">
        <f>[1]TOBEPAID!G760/1000</f>
        <v>0</v>
      </c>
      <c r="H993" s="19">
        <f>1870946/1000</f>
        <v>1870.9459999999999</v>
      </c>
      <c r="I993" s="19">
        <f>[1]TOBEPAID!I760/1000</f>
        <v>0</v>
      </c>
      <c r="J993" s="19">
        <f>[1]TOBEPAID!J760/1000</f>
        <v>0</v>
      </c>
      <c r="K993" s="19">
        <f>[1]TOBEPAID!K760/1000</f>
        <v>0</v>
      </c>
      <c r="L993" s="19">
        <f>[1]TOBEPAID!L760/1000</f>
        <v>0</v>
      </c>
      <c r="M993" s="19">
        <f>[1]TOBEPAID!M760/1000</f>
        <v>0</v>
      </c>
      <c r="N993" s="19">
        <f>[1]TOBEPAID!N760/1000</f>
        <v>1870.9459999999999</v>
      </c>
      <c r="O993" s="19">
        <f>[1]TOBEPAID!O760/1000</f>
        <v>0</v>
      </c>
      <c r="P993" s="19">
        <f>[1]TOBEPAID!P760/1000</f>
        <v>0</v>
      </c>
      <c r="Q993" s="19">
        <f>[1]TOBEPAID!Q760/1000</f>
        <v>0</v>
      </c>
      <c r="R993" s="19">
        <v>0</v>
      </c>
      <c r="S993" s="19">
        <f>[1]TOBEPAID!S760/1000</f>
        <v>0</v>
      </c>
      <c r="T993" s="19">
        <f>[1]TOBEPAID!T760/1000</f>
        <v>0</v>
      </c>
      <c r="U993" s="19">
        <f>[1]TOBEPAID!U760/1000</f>
        <v>0</v>
      </c>
      <c r="V993" s="19">
        <f>[1]TOBEPAID!V760/1000</f>
        <v>0</v>
      </c>
      <c r="W993" s="19">
        <f>[1]TOBEPAID!W760/1000</f>
        <v>0</v>
      </c>
      <c r="X993" s="19">
        <f>[1]TOBEPAID!X760/1000</f>
        <v>0</v>
      </c>
      <c r="Y993" s="19">
        <f t="shared" ref="Y993:Y1001" si="185">+H993+R993</f>
        <v>1870.9459999999999</v>
      </c>
      <c r="Z993" s="19">
        <f t="shared" si="184"/>
        <v>0</v>
      </c>
      <c r="AA993" s="19">
        <f>[1]TOBEPAID!AA760/1000</f>
        <v>1870.9459999999999</v>
      </c>
      <c r="AB993" s="19">
        <f>[1]TOBEPAID!AB760/1000</f>
        <v>0</v>
      </c>
      <c r="AC993" s="19"/>
      <c r="AD993" s="19"/>
    </row>
    <row r="994" spans="1:31" x14ac:dyDescent="0.2">
      <c r="A994" s="18"/>
      <c r="C994" s="3" t="s">
        <v>127</v>
      </c>
      <c r="D994" s="19">
        <f>10000000/1000</f>
        <v>10000</v>
      </c>
      <c r="E994" s="19"/>
      <c r="F994" s="19"/>
      <c r="G994" s="19"/>
      <c r="H994" s="19">
        <f>10000000/1000</f>
        <v>10000</v>
      </c>
      <c r="I994" s="19"/>
      <c r="J994" s="19"/>
      <c r="K994" s="19"/>
      <c r="L994" s="19"/>
      <c r="M994" s="19"/>
      <c r="N994" s="19"/>
      <c r="O994" s="19"/>
      <c r="P994" s="19"/>
      <c r="Q994" s="19"/>
      <c r="R994" s="19">
        <v>0</v>
      </c>
      <c r="S994" s="19"/>
      <c r="T994" s="19"/>
      <c r="U994" s="19"/>
      <c r="V994" s="19"/>
      <c r="W994" s="19"/>
      <c r="X994" s="19"/>
      <c r="Y994" s="19">
        <f>+H994+R994</f>
        <v>10000</v>
      </c>
      <c r="Z994" s="19">
        <f t="shared" si="184"/>
        <v>0</v>
      </c>
      <c r="AA994" s="19"/>
      <c r="AB994" s="19"/>
      <c r="AC994" s="19"/>
      <c r="AD994" s="19"/>
    </row>
    <row r="995" spans="1:31" x14ac:dyDescent="0.2">
      <c r="C995" s="3" t="s">
        <v>67</v>
      </c>
      <c r="D995" s="19">
        <f>176994351.06/1000</f>
        <v>176994.35106000002</v>
      </c>
      <c r="E995" s="19">
        <f>[1]TOBEPAID!E761/1000</f>
        <v>69494.351060000001</v>
      </c>
      <c r="F995" s="19">
        <f>[1]TOBEPAID!F761/1000</f>
        <v>10000</v>
      </c>
      <c r="G995" s="19">
        <f>[1]TOBEPAID!G761/1000</f>
        <v>0</v>
      </c>
      <c r="H995" s="19">
        <f>176994351/1000</f>
        <v>176994.351</v>
      </c>
      <c r="I995" s="19">
        <f>[1]TOBEPAID!I761/1000</f>
        <v>0</v>
      </c>
      <c r="J995" s="19">
        <f>[1]TOBEPAID!J761/1000</f>
        <v>0</v>
      </c>
      <c r="K995" s="19">
        <f>[1]TOBEPAID!K761/1000</f>
        <v>0</v>
      </c>
      <c r="L995" s="19">
        <f>[1]TOBEPAID!L761/1000</f>
        <v>0</v>
      </c>
      <c r="M995" s="19">
        <f>[1]TOBEPAID!M761/1000</f>
        <v>0</v>
      </c>
      <c r="N995" s="19">
        <f>[1]TOBEPAID!N761/1000</f>
        <v>79494.351060000001</v>
      </c>
      <c r="O995" s="19">
        <f>[1]TOBEPAID!O761/1000</f>
        <v>0</v>
      </c>
      <c r="P995" s="19">
        <f>[1]TOBEPAID!P761/1000</f>
        <v>0</v>
      </c>
      <c r="Q995" s="19">
        <f>[1]TOBEPAID!Q761/1000</f>
        <v>0</v>
      </c>
      <c r="R995" s="19">
        <v>0</v>
      </c>
      <c r="S995" s="19">
        <f>[1]TOBEPAID!S761/1000</f>
        <v>0</v>
      </c>
      <c r="T995" s="19">
        <f>[1]TOBEPAID!T761/1000</f>
        <v>0</v>
      </c>
      <c r="U995" s="19">
        <f>[1]TOBEPAID!U761/1000</f>
        <v>0</v>
      </c>
      <c r="V995" s="19">
        <f>[1]TOBEPAID!V761/1000</f>
        <v>0</v>
      </c>
      <c r="W995" s="19">
        <f>[1]TOBEPAID!W761/1000</f>
        <v>0</v>
      </c>
      <c r="X995" s="19">
        <f>[1]TOBEPAID!X761/1000</f>
        <v>0</v>
      </c>
      <c r="Y995" s="19">
        <f t="shared" si="185"/>
        <v>176994.351</v>
      </c>
      <c r="Z995" s="19">
        <f t="shared" si="184"/>
        <v>6.0000020312145352E-5</v>
      </c>
      <c r="AA995" s="19">
        <f>[1]TOBEPAID!AA761/1000</f>
        <v>79494.351060000001</v>
      </c>
      <c r="AB995" s="19">
        <f>[1]TOBEPAID!AB761/1000</f>
        <v>0</v>
      </c>
      <c r="AC995" s="19"/>
      <c r="AD995" s="19"/>
    </row>
    <row r="996" spans="1:31" x14ac:dyDescent="0.2">
      <c r="C996" s="3" t="s">
        <v>161</v>
      </c>
      <c r="D996" s="19">
        <f>12000000/1000</f>
        <v>12000</v>
      </c>
      <c r="E996" s="19"/>
      <c r="F996" s="19"/>
      <c r="G996" s="19"/>
      <c r="H996" s="19">
        <f>12000000/1000</f>
        <v>12000</v>
      </c>
      <c r="I996" s="19"/>
      <c r="J996" s="19"/>
      <c r="K996" s="19"/>
      <c r="L996" s="19"/>
      <c r="M996" s="19"/>
      <c r="N996" s="19"/>
      <c r="O996" s="19"/>
      <c r="P996" s="19"/>
      <c r="Q996" s="19"/>
      <c r="R996" s="19">
        <v>0</v>
      </c>
      <c r="S996" s="19"/>
      <c r="T996" s="19"/>
      <c r="U996" s="19"/>
      <c r="V996" s="19"/>
      <c r="W996" s="19"/>
      <c r="X996" s="19"/>
      <c r="Y996" s="19">
        <f t="shared" si="185"/>
        <v>12000</v>
      </c>
      <c r="Z996" s="19">
        <f t="shared" si="184"/>
        <v>0</v>
      </c>
      <c r="AA996" s="19"/>
      <c r="AB996" s="19"/>
      <c r="AC996" s="19"/>
      <c r="AD996" s="19"/>
    </row>
    <row r="997" spans="1:31" x14ac:dyDescent="0.2">
      <c r="C997" s="3" t="s">
        <v>76</v>
      </c>
      <c r="D997" s="19">
        <f>11914679/1000</f>
        <v>11914.679</v>
      </c>
      <c r="E997" s="19"/>
      <c r="F997" s="19"/>
      <c r="G997" s="19"/>
      <c r="H997" s="19">
        <f>11914679/1000</f>
        <v>11914.679</v>
      </c>
      <c r="I997" s="19"/>
      <c r="J997" s="19"/>
      <c r="K997" s="19"/>
      <c r="L997" s="19"/>
      <c r="M997" s="19"/>
      <c r="N997" s="19"/>
      <c r="O997" s="19"/>
      <c r="P997" s="19"/>
      <c r="Q997" s="19"/>
      <c r="R997" s="19">
        <v>0</v>
      </c>
      <c r="S997" s="19"/>
      <c r="T997" s="19"/>
      <c r="U997" s="19"/>
      <c r="V997" s="19"/>
      <c r="W997" s="19"/>
      <c r="X997" s="19"/>
      <c r="Y997" s="19">
        <f>11914679/1000</f>
        <v>11914.679</v>
      </c>
      <c r="Z997" s="19">
        <f t="shared" si="184"/>
        <v>0</v>
      </c>
      <c r="AA997" s="19"/>
      <c r="AB997" s="19"/>
      <c r="AC997" s="19"/>
      <c r="AD997" s="19"/>
    </row>
    <row r="998" spans="1:31" x14ac:dyDescent="0.2">
      <c r="C998" s="3" t="s">
        <v>63</v>
      </c>
      <c r="D998" s="19">
        <f>6627376/1000</f>
        <v>6627.3760000000002</v>
      </c>
      <c r="E998" s="19"/>
      <c r="F998" s="19"/>
      <c r="G998" s="19"/>
      <c r="H998" s="19">
        <f>6627376/1000</f>
        <v>6627.3760000000002</v>
      </c>
      <c r="I998" s="19"/>
      <c r="J998" s="19"/>
      <c r="K998" s="19"/>
      <c r="L998" s="19"/>
      <c r="M998" s="19"/>
      <c r="N998" s="19"/>
      <c r="O998" s="19"/>
      <c r="P998" s="19"/>
      <c r="Q998" s="19"/>
      <c r="R998" s="19">
        <v>0</v>
      </c>
      <c r="S998" s="19"/>
      <c r="T998" s="19"/>
      <c r="U998" s="19"/>
      <c r="V998" s="19"/>
      <c r="W998" s="19"/>
      <c r="X998" s="19"/>
      <c r="Y998" s="19">
        <f>+H998+R998</f>
        <v>6627.3760000000002</v>
      </c>
      <c r="Z998" s="19">
        <f t="shared" si="184"/>
        <v>0</v>
      </c>
      <c r="AA998" s="19"/>
      <c r="AB998" s="19"/>
      <c r="AC998" s="19"/>
      <c r="AD998" s="19"/>
    </row>
    <row r="999" spans="1:31" x14ac:dyDescent="0.2">
      <c r="C999" s="3" t="s">
        <v>259</v>
      </c>
      <c r="D999" s="19">
        <f>5066000/1000</f>
        <v>5066</v>
      </c>
      <c r="E999" s="19"/>
      <c r="F999" s="19"/>
      <c r="G999" s="19"/>
      <c r="H999" s="19">
        <f>5066000/1000</f>
        <v>5066</v>
      </c>
      <c r="I999" s="19"/>
      <c r="J999" s="19"/>
      <c r="K999" s="19"/>
      <c r="L999" s="19"/>
      <c r="M999" s="19"/>
      <c r="N999" s="19"/>
      <c r="O999" s="19"/>
      <c r="P999" s="19"/>
      <c r="Q999" s="19"/>
      <c r="R999" s="19">
        <v>0</v>
      </c>
      <c r="S999" s="19"/>
      <c r="T999" s="19"/>
      <c r="U999" s="19"/>
      <c r="V999" s="19"/>
      <c r="W999" s="19"/>
      <c r="X999" s="19"/>
      <c r="Y999" s="19">
        <f t="shared" si="185"/>
        <v>5066</v>
      </c>
      <c r="Z999" s="19">
        <f t="shared" si="184"/>
        <v>0</v>
      </c>
      <c r="AA999" s="19"/>
      <c r="AB999" s="19"/>
      <c r="AC999" s="19"/>
      <c r="AD999" s="19"/>
    </row>
    <row r="1000" spans="1:31" x14ac:dyDescent="0.2">
      <c r="A1000" s="18"/>
      <c r="C1000" s="3" t="s">
        <v>96</v>
      </c>
      <c r="D1000" s="19">
        <f>1271889/1000</f>
        <v>1271.8889999999999</v>
      </c>
      <c r="E1000" s="19">
        <f>[1]TOBEPAID!E762/1000</f>
        <v>0</v>
      </c>
      <c r="F1000" s="19">
        <f>[1]TOBEPAID!F762/1000</f>
        <v>0</v>
      </c>
      <c r="G1000" s="19">
        <f>[1]TOBEPAID!G762/1000</f>
        <v>0</v>
      </c>
      <c r="H1000" s="19">
        <v>0</v>
      </c>
      <c r="I1000" s="19">
        <f>[1]TOBEPAID!I762/1000</f>
        <v>0</v>
      </c>
      <c r="J1000" s="19">
        <f>[1]TOBEPAID!J762/1000</f>
        <v>0</v>
      </c>
      <c r="K1000" s="19">
        <f>[1]TOBEPAID!K762/1000</f>
        <v>0</v>
      </c>
      <c r="L1000" s="19">
        <f>[1]TOBEPAID!L762/1000</f>
        <v>0</v>
      </c>
      <c r="M1000" s="19">
        <f>[1]TOBEPAID!M762/1000</f>
        <v>0</v>
      </c>
      <c r="N1000" s="19">
        <f>[1]TOBEPAID!N762/1000</f>
        <v>0</v>
      </c>
      <c r="O1000" s="19">
        <f>[1]TOBEPAID!O762/1000</f>
        <v>1271.88951</v>
      </c>
      <c r="P1000" s="19">
        <f>[1]TOBEPAID!P762/1000</f>
        <v>0</v>
      </c>
      <c r="Q1000" s="19">
        <f>[1]TOBEPAID!Q762/1000</f>
        <v>0</v>
      </c>
      <c r="R1000" s="19">
        <f>1275992/1000</f>
        <v>1275.992</v>
      </c>
      <c r="S1000" s="19">
        <f>[1]TOBEPAID!S762/1000</f>
        <v>0</v>
      </c>
      <c r="T1000" s="19">
        <f>[1]TOBEPAID!T762/1000</f>
        <v>0</v>
      </c>
      <c r="U1000" s="19">
        <f>[1]TOBEPAID!U762/1000</f>
        <v>0</v>
      </c>
      <c r="V1000" s="19">
        <f>[1]TOBEPAID!V762/1000</f>
        <v>0</v>
      </c>
      <c r="W1000" s="19">
        <f>[1]TOBEPAID!W762/1000</f>
        <v>0</v>
      </c>
      <c r="X1000" s="19">
        <f>[1]TOBEPAID!X762/1000</f>
        <v>1271.88951</v>
      </c>
      <c r="Y1000" s="19">
        <f t="shared" si="185"/>
        <v>1275.992</v>
      </c>
      <c r="Z1000" s="19">
        <f t="shared" si="184"/>
        <v>-4.1030000000000655</v>
      </c>
      <c r="AA1000" s="19">
        <f>[1]TOBEPAID!AA762/1000</f>
        <v>1271.88951</v>
      </c>
      <c r="AB1000" s="19">
        <f>[1]TOBEPAID!AB762/1000</f>
        <v>11666.401519999999</v>
      </c>
      <c r="AC1000" s="19" t="s">
        <v>300</v>
      </c>
      <c r="AD1000" s="19"/>
    </row>
    <row r="1001" spans="1:31" x14ac:dyDescent="0.2">
      <c r="A1001" s="18"/>
      <c r="C1001" s="3" t="s">
        <v>97</v>
      </c>
      <c r="D1001" s="19">
        <f>15796629/1000</f>
        <v>15796.629000000001</v>
      </c>
      <c r="E1001" s="19">
        <f>[1]TOBEPAID!E763/1000</f>
        <v>0</v>
      </c>
      <c r="F1001" s="19">
        <f>[1]TOBEPAID!F763/1000</f>
        <v>0</v>
      </c>
      <c r="G1001" s="19">
        <f>[1]TOBEPAID!G763/1000</f>
        <v>0</v>
      </c>
      <c r="H1001" s="19">
        <v>0</v>
      </c>
      <c r="I1001" s="19">
        <f>[1]TOBEPAID!I763/1000</f>
        <v>0</v>
      </c>
      <c r="J1001" s="19">
        <f>[1]TOBEPAID!J763/1000</f>
        <v>0</v>
      </c>
      <c r="K1001" s="19">
        <f>[1]TOBEPAID!K763/1000</f>
        <v>0</v>
      </c>
      <c r="L1001" s="19">
        <f>[1]TOBEPAID!L763/1000</f>
        <v>0</v>
      </c>
      <c r="M1001" s="19">
        <f>[1]TOBEPAID!M763/1000</f>
        <v>0</v>
      </c>
      <c r="N1001" s="19">
        <f>[1]TOBEPAID!N763/1000</f>
        <v>0</v>
      </c>
      <c r="O1001" s="19">
        <f>[1]TOBEPAID!O763/1000</f>
        <v>16105.12997</v>
      </c>
      <c r="P1001" s="19">
        <f>[1]TOBEPAID!P763/1000</f>
        <v>0</v>
      </c>
      <c r="Q1001" s="19">
        <f>[1]TOBEPAID!Q763/1000</f>
        <v>0</v>
      </c>
      <c r="R1001" s="19">
        <f>16105129/1000</f>
        <v>16105.129000000001</v>
      </c>
      <c r="S1001" s="19">
        <f>[1]TOBEPAID!S763/1000</f>
        <v>0</v>
      </c>
      <c r="T1001" s="19">
        <f>[1]TOBEPAID!T763/1000</f>
        <v>0</v>
      </c>
      <c r="U1001" s="19">
        <f>[1]TOBEPAID!U763/1000</f>
        <v>0</v>
      </c>
      <c r="V1001" s="19">
        <f>[1]TOBEPAID!V763/1000</f>
        <v>0</v>
      </c>
      <c r="W1001" s="19">
        <f>[1]TOBEPAID!W763/1000</f>
        <v>0</v>
      </c>
      <c r="X1001" s="19">
        <f>[1]TOBEPAID!X763/1000</f>
        <v>16105.12997</v>
      </c>
      <c r="Y1001" s="19">
        <f t="shared" si="185"/>
        <v>16105.129000000001</v>
      </c>
      <c r="Z1001" s="19">
        <f t="shared" si="184"/>
        <v>-308.5</v>
      </c>
      <c r="AA1001" s="19">
        <f>[1]TOBEPAID!AA763/1000</f>
        <v>16105.12997</v>
      </c>
      <c r="AB1001" s="19">
        <f>[1]TOBEPAID!AB763/1000</f>
        <v>-308.50016999999991</v>
      </c>
      <c r="AC1001" s="19" t="s">
        <v>116</v>
      </c>
      <c r="AD1001" s="19"/>
      <c r="AE1001" s="3" t="s">
        <v>116</v>
      </c>
    </row>
    <row r="1002" spans="1:31" x14ac:dyDescent="0.2">
      <c r="A1002" s="18"/>
      <c r="D1002" s="21" t="s">
        <v>57</v>
      </c>
      <c r="E1002" s="21" t="s">
        <v>57</v>
      </c>
      <c r="F1002" s="21" t="s">
        <v>57</v>
      </c>
      <c r="G1002" s="21"/>
      <c r="H1002" s="21" t="s">
        <v>57</v>
      </c>
      <c r="I1002" s="21" t="s">
        <v>57</v>
      </c>
      <c r="J1002" s="21" t="s">
        <v>57</v>
      </c>
      <c r="K1002" s="21" t="s">
        <v>57</v>
      </c>
      <c r="L1002" s="21" t="s">
        <v>57</v>
      </c>
      <c r="M1002" s="21"/>
      <c r="N1002" s="21" t="s">
        <v>57</v>
      </c>
      <c r="O1002" s="21" t="s">
        <v>57</v>
      </c>
      <c r="P1002" s="21" t="s">
        <v>57</v>
      </c>
      <c r="Q1002" s="21"/>
      <c r="R1002" s="21" t="s">
        <v>57</v>
      </c>
      <c r="S1002" s="21" t="s">
        <v>57</v>
      </c>
      <c r="T1002" s="21" t="s">
        <v>57</v>
      </c>
      <c r="U1002" s="21" t="s">
        <v>57</v>
      </c>
      <c r="V1002" s="21" t="s">
        <v>57</v>
      </c>
      <c r="W1002" s="21"/>
      <c r="X1002" s="21" t="s">
        <v>57</v>
      </c>
      <c r="Y1002" s="21" t="s">
        <v>57</v>
      </c>
      <c r="Z1002" s="21" t="s">
        <v>57</v>
      </c>
      <c r="AA1002" s="21" t="s">
        <v>57</v>
      </c>
      <c r="AB1002" s="21" t="s">
        <v>57</v>
      </c>
      <c r="AC1002" s="21"/>
      <c r="AD1002" s="21"/>
    </row>
    <row r="1003" spans="1:31" x14ac:dyDescent="0.2">
      <c r="A1003" s="18"/>
      <c r="D1003" s="30">
        <f>SUM(D992:D1001)</f>
        <v>253208.27106</v>
      </c>
      <c r="E1003" s="30">
        <f>SUM(E992:E1001)</f>
        <v>71365.297059999997</v>
      </c>
      <c r="F1003" s="30">
        <f>SUM(F992:F1001)</f>
        <v>10000</v>
      </c>
      <c r="G1003" s="30"/>
      <c r="H1003" s="30">
        <f>SUM(H992:H1001)</f>
        <v>236139.753</v>
      </c>
      <c r="I1003" s="30">
        <f>SUM(I992:I1001)</f>
        <v>0</v>
      </c>
      <c r="J1003" s="30">
        <f>SUM(J992:J1001)</f>
        <v>0</v>
      </c>
      <c r="K1003" s="30">
        <f>SUM(K992:K1001)</f>
        <v>0</v>
      </c>
      <c r="L1003" s="30">
        <f>SUM(L992:L1001)</f>
        <v>0</v>
      </c>
      <c r="M1003" s="30"/>
      <c r="N1003" s="30">
        <f>SUM(N992:N1001)</f>
        <v>81365.297059999997</v>
      </c>
      <c r="O1003" s="30">
        <f>SUM(O992:O1001)</f>
        <v>17377.019479999999</v>
      </c>
      <c r="P1003" s="30">
        <f>SUM(P992:P1001)</f>
        <v>0</v>
      </c>
      <c r="Q1003" s="30"/>
      <c r="R1003" s="30">
        <f>SUM(R992:R1001)</f>
        <v>17381.120999999999</v>
      </c>
      <c r="S1003" s="30">
        <f>SUM(S992:S1001)</f>
        <v>0</v>
      </c>
      <c r="T1003" s="30">
        <f>SUM(T992:T1001)</f>
        <v>0</v>
      </c>
      <c r="U1003" s="30">
        <f>SUM(U992:U1001)</f>
        <v>0</v>
      </c>
      <c r="V1003" s="30">
        <f>SUM(V992:V1001)</f>
        <v>0</v>
      </c>
      <c r="W1003" s="30"/>
      <c r="X1003" s="30">
        <f>SUM(X992:X1001)</f>
        <v>17377.019479999999</v>
      </c>
      <c r="Y1003" s="30">
        <f>SUM(Y992:Y1001)</f>
        <v>253520.87400000001</v>
      </c>
      <c r="Z1003" s="30">
        <f>SUM(Z992:Z1001)</f>
        <v>-312.60293999997975</v>
      </c>
      <c r="AA1003" s="30">
        <f>SUM(AA992:AA1001)</f>
        <v>98742.316539999985</v>
      </c>
      <c r="AB1003" s="30">
        <f>SUM(AB992:AB1001)</f>
        <v>11357.90135</v>
      </c>
      <c r="AC1003" s="30"/>
      <c r="AD1003" s="30"/>
    </row>
    <row r="1004" spans="1:31" x14ac:dyDescent="0.2">
      <c r="A1004" s="18"/>
      <c r="D1004" s="21" t="s">
        <v>57</v>
      </c>
      <c r="E1004" s="21" t="s">
        <v>57</v>
      </c>
      <c r="F1004" s="21" t="s">
        <v>57</v>
      </c>
      <c r="G1004" s="21"/>
      <c r="H1004" s="21" t="s">
        <v>57</v>
      </c>
      <c r="I1004" s="21" t="s">
        <v>57</v>
      </c>
      <c r="J1004" s="21" t="s">
        <v>57</v>
      </c>
      <c r="K1004" s="21" t="s">
        <v>57</v>
      </c>
      <c r="L1004" s="21" t="s">
        <v>57</v>
      </c>
      <c r="M1004" s="21"/>
      <c r="N1004" s="21" t="s">
        <v>57</v>
      </c>
      <c r="O1004" s="21" t="s">
        <v>57</v>
      </c>
      <c r="P1004" s="21" t="s">
        <v>57</v>
      </c>
      <c r="Q1004" s="21"/>
      <c r="R1004" s="21" t="s">
        <v>57</v>
      </c>
      <c r="S1004" s="21" t="s">
        <v>57</v>
      </c>
      <c r="T1004" s="21" t="s">
        <v>57</v>
      </c>
      <c r="U1004" s="21" t="s">
        <v>57</v>
      </c>
      <c r="V1004" s="21" t="s">
        <v>57</v>
      </c>
      <c r="W1004" s="21"/>
      <c r="X1004" s="21" t="s">
        <v>57</v>
      </c>
      <c r="Y1004" s="21" t="s">
        <v>57</v>
      </c>
      <c r="Z1004" s="21" t="s">
        <v>57</v>
      </c>
      <c r="AA1004" s="21" t="s">
        <v>57</v>
      </c>
      <c r="AB1004" s="21" t="s">
        <v>57</v>
      </c>
      <c r="AC1004" s="21"/>
      <c r="AD1004" s="21"/>
    </row>
    <row r="1005" spans="1:31" ht="15.75" thickBot="1" x14ac:dyDescent="0.25"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67" t="s">
        <v>301</v>
      </c>
      <c r="Z1005" s="38" t="s">
        <v>302</v>
      </c>
      <c r="AA1005" s="37"/>
      <c r="AB1005" s="38"/>
      <c r="AC1005" s="38"/>
      <c r="AD1005" s="38"/>
    </row>
    <row r="1006" spans="1:31" ht="15.75" thickTop="1" x14ac:dyDescent="0.2">
      <c r="A1006" s="18">
        <v>77</v>
      </c>
      <c r="B1006" s="3" t="s">
        <v>303</v>
      </c>
      <c r="C1006" s="17" t="s">
        <v>51</v>
      </c>
      <c r="D1006" s="19">
        <f>34526520/1000</f>
        <v>34526.519999999997</v>
      </c>
      <c r="E1006" s="19">
        <f>[1]TOBEPAID!E768/1000</f>
        <v>0</v>
      </c>
      <c r="F1006" s="19">
        <f>[1]TOBEPAID!F768/1000</f>
        <v>0</v>
      </c>
      <c r="G1006" s="19">
        <f>[1]TOBEPAID!G768/1000</f>
        <v>0</v>
      </c>
      <c r="H1006" s="19">
        <v>0</v>
      </c>
      <c r="I1006" s="19">
        <f>[1]TOBEPAID!I768/1000</f>
        <v>0</v>
      </c>
      <c r="J1006" s="19">
        <f>[1]TOBEPAID!J768/1000</f>
        <v>0</v>
      </c>
      <c r="K1006" s="19">
        <f>[1]TOBEPAID!K768/1000</f>
        <v>0</v>
      </c>
      <c r="L1006" s="19">
        <f>[1]TOBEPAID!L768/1000</f>
        <v>0</v>
      </c>
      <c r="M1006" s="19">
        <f>[1]TOBEPAID!M768/1000</f>
        <v>0</v>
      </c>
      <c r="N1006" s="19">
        <f>[1]TOBEPAID!N768/1000</f>
        <v>0</v>
      </c>
      <c r="O1006" s="19">
        <f>[1]TOBEPAID!O768/1000</f>
        <v>56.072000000000003</v>
      </c>
      <c r="P1006" s="19">
        <f>[1]TOBEPAID!P768/1000</f>
        <v>0</v>
      </c>
      <c r="Q1006" s="19">
        <f>[1]TOBEPAID!Q768/1000</f>
        <v>0</v>
      </c>
      <c r="R1006" s="19">
        <f>56072/1000</f>
        <v>56.072000000000003</v>
      </c>
      <c r="S1006" s="19">
        <f>[1]TOBEPAID!S768/1000</f>
        <v>0</v>
      </c>
      <c r="T1006" s="19">
        <f>[1]TOBEPAID!T768/1000</f>
        <v>0</v>
      </c>
      <c r="U1006" s="19">
        <f>[1]TOBEPAID!U768/1000</f>
        <v>0</v>
      </c>
      <c r="V1006" s="19">
        <f>[1]TOBEPAID!V768/1000</f>
        <v>0</v>
      </c>
      <c r="W1006" s="19">
        <f>[1]TOBEPAID!W768/1000</f>
        <v>0</v>
      </c>
      <c r="X1006" s="19">
        <f>[1]TOBEPAID!X768/1000</f>
        <v>56.072000000000003</v>
      </c>
      <c r="Y1006" s="19">
        <f>+H1006+R1006</f>
        <v>56.072000000000003</v>
      </c>
      <c r="Z1006" s="19">
        <f>+D1006-Y1006</f>
        <v>34470.447999999997</v>
      </c>
      <c r="AA1006" s="19">
        <f>[1]TOBEPAID!AA768/1000</f>
        <v>56.072000000000003</v>
      </c>
      <c r="AB1006" s="19">
        <f>[1]TOBEPAID!AB768/1000</f>
        <v>34470.448799999998</v>
      </c>
      <c r="AC1006" s="19"/>
      <c r="AD1006" s="19"/>
    </row>
    <row r="1007" spans="1:31" x14ac:dyDescent="0.2">
      <c r="A1007" s="18"/>
      <c r="C1007" s="3" t="s">
        <v>52</v>
      </c>
      <c r="D1007" s="19">
        <f>564161/1000</f>
        <v>564.16099999999994</v>
      </c>
      <c r="E1007" s="19">
        <f>[1]TOBEPAID!E769/1000</f>
        <v>564.16099999999994</v>
      </c>
      <c r="F1007" s="19">
        <f>[1]TOBEPAID!F769/1000</f>
        <v>0</v>
      </c>
      <c r="G1007" s="19">
        <f>[1]TOBEPAID!G769/1000</f>
        <v>0</v>
      </c>
      <c r="H1007" s="19">
        <f>564161/1000</f>
        <v>564.16099999999994</v>
      </c>
      <c r="I1007" s="19">
        <f>[1]TOBEPAID!I769/1000</f>
        <v>0</v>
      </c>
      <c r="J1007" s="19">
        <f>[1]TOBEPAID!J769/1000</f>
        <v>0</v>
      </c>
      <c r="K1007" s="19">
        <f>[1]TOBEPAID!K769/1000</f>
        <v>0</v>
      </c>
      <c r="L1007" s="19">
        <f>[1]TOBEPAID!L769/1000</f>
        <v>0</v>
      </c>
      <c r="M1007" s="19">
        <f>[1]TOBEPAID!M769/1000</f>
        <v>0</v>
      </c>
      <c r="N1007" s="19">
        <f>[1]TOBEPAID!N769/1000</f>
        <v>564.16099999999994</v>
      </c>
      <c r="O1007" s="19">
        <f>[1]TOBEPAID!O769/1000</f>
        <v>0</v>
      </c>
      <c r="P1007" s="19">
        <f>[1]TOBEPAID!P769/1000</f>
        <v>0</v>
      </c>
      <c r="Q1007" s="19">
        <f>[1]TOBEPAID!Q769/1000</f>
        <v>0</v>
      </c>
      <c r="R1007" s="19">
        <v>0</v>
      </c>
      <c r="S1007" s="19">
        <f>[1]TOBEPAID!S769/1000</f>
        <v>0</v>
      </c>
      <c r="T1007" s="19">
        <f>[1]TOBEPAID!T769/1000</f>
        <v>0</v>
      </c>
      <c r="U1007" s="19">
        <f>[1]TOBEPAID!U769/1000</f>
        <v>0</v>
      </c>
      <c r="V1007" s="19">
        <f>[1]TOBEPAID!V769/1000</f>
        <v>0</v>
      </c>
      <c r="W1007" s="19">
        <f>[1]TOBEPAID!W769/1000</f>
        <v>0</v>
      </c>
      <c r="X1007" s="19">
        <f>[1]TOBEPAID!X769/1000</f>
        <v>0</v>
      </c>
      <c r="Y1007" s="19">
        <f>+H1007+R1007</f>
        <v>564.16099999999994</v>
      </c>
      <c r="Z1007" s="19">
        <f>+D1007-Y1007</f>
        <v>0</v>
      </c>
      <c r="AA1007" s="19">
        <f>[1]TOBEPAID!AA769/1000</f>
        <v>564.16099999999994</v>
      </c>
      <c r="AB1007" s="19">
        <f>[1]TOBEPAID!AB769/1000</f>
        <v>0</v>
      </c>
      <c r="AC1007" s="19"/>
      <c r="AD1007" s="19"/>
    </row>
    <row r="1008" spans="1:31" x14ac:dyDescent="0.2">
      <c r="A1008" s="18"/>
      <c r="C1008" s="3" t="s">
        <v>96</v>
      </c>
      <c r="D1008" s="19">
        <f>2507017/1000</f>
        <v>2507.0169999999998</v>
      </c>
      <c r="E1008" s="19">
        <f>[1]TOBEPAID!E770/1000</f>
        <v>0</v>
      </c>
      <c r="F1008" s="19">
        <f>[1]TOBEPAID!F770/1000</f>
        <v>0</v>
      </c>
      <c r="G1008" s="19">
        <f>[1]TOBEPAID!G770/1000</f>
        <v>0</v>
      </c>
      <c r="H1008" s="19">
        <v>0</v>
      </c>
      <c r="I1008" s="19">
        <f>[1]TOBEPAID!I770/1000</f>
        <v>0</v>
      </c>
      <c r="J1008" s="19">
        <f>[1]TOBEPAID!J770/1000</f>
        <v>0</v>
      </c>
      <c r="K1008" s="19">
        <f>[1]TOBEPAID!K770/1000</f>
        <v>0</v>
      </c>
      <c r="L1008" s="19">
        <f>[1]TOBEPAID!L770/1000</f>
        <v>0</v>
      </c>
      <c r="M1008" s="19">
        <f>[1]TOBEPAID!M770/1000</f>
        <v>0</v>
      </c>
      <c r="N1008" s="19">
        <f>[1]TOBEPAID!N770/1000</f>
        <v>0</v>
      </c>
      <c r="O1008" s="19">
        <f>[1]TOBEPAID!O770/1000</f>
        <v>2507.0174499999998</v>
      </c>
      <c r="P1008" s="19">
        <f>[1]TOBEPAID!P770/1000</f>
        <v>0</v>
      </c>
      <c r="Q1008" s="19">
        <f>[1]TOBEPAID!Q770/1000</f>
        <v>0</v>
      </c>
      <c r="R1008" s="19">
        <f>2507017/1000</f>
        <v>2507.0169999999998</v>
      </c>
      <c r="S1008" s="19">
        <f>[1]TOBEPAID!S770/1000</f>
        <v>0</v>
      </c>
      <c r="T1008" s="19">
        <f>[1]TOBEPAID!T770/1000</f>
        <v>0</v>
      </c>
      <c r="U1008" s="19">
        <f>[1]TOBEPAID!U770/1000</f>
        <v>0</v>
      </c>
      <c r="V1008" s="19">
        <f>[1]TOBEPAID!V770/1000</f>
        <v>0</v>
      </c>
      <c r="W1008" s="19">
        <f>[1]TOBEPAID!W770/1000</f>
        <v>0</v>
      </c>
      <c r="X1008" s="19">
        <f>[1]TOBEPAID!X770/1000</f>
        <v>2507.0174499999998</v>
      </c>
      <c r="Y1008" s="19">
        <f>+H1008+R1008</f>
        <v>2507.0169999999998</v>
      </c>
      <c r="Z1008" s="19">
        <f>+D1008-Y1008</f>
        <v>0</v>
      </c>
      <c r="AA1008" s="19">
        <f>[1]TOBEPAID!AA770/1000</f>
        <v>2507.0174499999998</v>
      </c>
      <c r="AB1008" s="19">
        <f>[1]TOBEPAID!AB770/1000</f>
        <v>0</v>
      </c>
      <c r="AC1008" s="19"/>
      <c r="AD1008" s="19"/>
    </row>
    <row r="1009" spans="1:30" x14ac:dyDescent="0.2">
      <c r="A1009" s="18"/>
      <c r="C1009" s="3" t="s">
        <v>97</v>
      </c>
      <c r="D1009" s="19">
        <f>16304159/1000</f>
        <v>16304.159</v>
      </c>
      <c r="E1009" s="19">
        <f>[1]TOBEPAID!E771/1000</f>
        <v>0</v>
      </c>
      <c r="F1009" s="19">
        <f>[1]TOBEPAID!F771/1000</f>
        <v>0</v>
      </c>
      <c r="G1009" s="19">
        <f>[1]TOBEPAID!G771/1000</f>
        <v>0</v>
      </c>
      <c r="H1009" s="19">
        <v>0</v>
      </c>
      <c r="I1009" s="19">
        <f>[1]TOBEPAID!I771/1000</f>
        <v>0</v>
      </c>
      <c r="J1009" s="19">
        <f>[1]TOBEPAID!J771/1000</f>
        <v>0</v>
      </c>
      <c r="K1009" s="19">
        <f>[1]TOBEPAID!K771/1000</f>
        <v>0</v>
      </c>
      <c r="L1009" s="19">
        <f>[1]TOBEPAID!L771/1000</f>
        <v>0</v>
      </c>
      <c r="M1009" s="19">
        <f>[1]TOBEPAID!M771/1000</f>
        <v>0</v>
      </c>
      <c r="N1009" s="19">
        <f>[1]TOBEPAID!N771/1000</f>
        <v>0</v>
      </c>
      <c r="O1009" s="19">
        <f>[1]TOBEPAID!O771/1000</f>
        <v>16304.15929</v>
      </c>
      <c r="P1009" s="19">
        <f>[1]TOBEPAID!P771/1000</f>
        <v>0</v>
      </c>
      <c r="Q1009" s="19">
        <f>[1]TOBEPAID!Q771/1000</f>
        <v>0</v>
      </c>
      <c r="R1009" s="19">
        <f>16304159/1000</f>
        <v>16304.159</v>
      </c>
      <c r="S1009" s="19">
        <f>[1]TOBEPAID!S771/1000</f>
        <v>0</v>
      </c>
      <c r="T1009" s="19">
        <f>[1]TOBEPAID!T771/1000</f>
        <v>0</v>
      </c>
      <c r="U1009" s="19">
        <f>[1]TOBEPAID!U771/1000</f>
        <v>0</v>
      </c>
      <c r="V1009" s="19">
        <f>[1]TOBEPAID!V771/1000</f>
        <v>0</v>
      </c>
      <c r="W1009" s="19">
        <f>[1]TOBEPAID!W771/1000</f>
        <v>0</v>
      </c>
      <c r="X1009" s="19">
        <f>[1]TOBEPAID!X771/1000</f>
        <v>16304.15929</v>
      </c>
      <c r="Y1009" s="19">
        <f>+H1009+R1009</f>
        <v>16304.159</v>
      </c>
      <c r="Z1009" s="19">
        <f>+D1009-Y1009</f>
        <v>0</v>
      </c>
      <c r="AA1009" s="19">
        <f>[1]TOBEPAID!AA771/1000</f>
        <v>16304.15929</v>
      </c>
      <c r="AB1009" s="19">
        <f>[1]TOBEPAID!AB771/1000</f>
        <v>0</v>
      </c>
      <c r="AC1009" s="19"/>
      <c r="AD1009" s="19"/>
    </row>
    <row r="1010" spans="1:30" x14ac:dyDescent="0.2">
      <c r="A1010" s="18"/>
      <c r="D1010" s="21" t="s">
        <v>57</v>
      </c>
      <c r="E1010" s="21" t="s">
        <v>57</v>
      </c>
      <c r="F1010" s="21" t="s">
        <v>57</v>
      </c>
      <c r="G1010" s="21"/>
      <c r="H1010" s="21" t="s">
        <v>57</v>
      </c>
      <c r="I1010" s="21" t="s">
        <v>57</v>
      </c>
      <c r="J1010" s="21" t="s">
        <v>57</v>
      </c>
      <c r="K1010" s="21" t="s">
        <v>57</v>
      </c>
      <c r="L1010" s="21" t="s">
        <v>57</v>
      </c>
      <c r="M1010" s="21"/>
      <c r="N1010" s="21" t="s">
        <v>57</v>
      </c>
      <c r="O1010" s="21" t="s">
        <v>57</v>
      </c>
      <c r="P1010" s="21" t="s">
        <v>57</v>
      </c>
      <c r="Q1010" s="21"/>
      <c r="R1010" s="21" t="s">
        <v>57</v>
      </c>
      <c r="S1010" s="21" t="s">
        <v>57</v>
      </c>
      <c r="T1010" s="21" t="s">
        <v>57</v>
      </c>
      <c r="U1010" s="21" t="s">
        <v>57</v>
      </c>
      <c r="V1010" s="21" t="s">
        <v>57</v>
      </c>
      <c r="W1010" s="21"/>
      <c r="X1010" s="21" t="s">
        <v>57</v>
      </c>
      <c r="Y1010" s="21" t="s">
        <v>57</v>
      </c>
      <c r="Z1010" s="21" t="s">
        <v>57</v>
      </c>
      <c r="AA1010" s="21" t="s">
        <v>57</v>
      </c>
      <c r="AB1010" s="21" t="s">
        <v>57</v>
      </c>
      <c r="AC1010" s="21"/>
      <c r="AD1010" s="21"/>
    </row>
    <row r="1011" spans="1:30" x14ac:dyDescent="0.2">
      <c r="A1011" s="18"/>
      <c r="D1011" s="30">
        <f>SUM(D1006:D1009)</f>
        <v>53901.856999999996</v>
      </c>
      <c r="E1011" s="30">
        <f>SUM(E1006:E1009)</f>
        <v>564.16099999999994</v>
      </c>
      <c r="F1011" s="30">
        <f>SUM(F1006:F1009)</f>
        <v>0</v>
      </c>
      <c r="G1011" s="30"/>
      <c r="H1011" s="30">
        <f>SUM(H1006:H1009)</f>
        <v>564.16099999999994</v>
      </c>
      <c r="I1011" s="30">
        <f>SUM(I1006:I1009)</f>
        <v>0</v>
      </c>
      <c r="J1011" s="30">
        <f>SUM(J1006:J1009)</f>
        <v>0</v>
      </c>
      <c r="K1011" s="30">
        <f>SUM(K1006:K1009)</f>
        <v>0</v>
      </c>
      <c r="L1011" s="30">
        <f>SUM(L1006:L1009)</f>
        <v>0</v>
      </c>
      <c r="M1011" s="30"/>
      <c r="N1011" s="30">
        <f>SUM(N1006:N1009)</f>
        <v>564.16099999999994</v>
      </c>
      <c r="O1011" s="30">
        <f>SUM(O1006:O1009)</f>
        <v>18867.248739999999</v>
      </c>
      <c r="P1011" s="30">
        <f>SUM(P1006:P1009)</f>
        <v>0</v>
      </c>
      <c r="Q1011" s="30"/>
      <c r="R1011" s="30">
        <f>SUM(R1006:R1009)</f>
        <v>18867.248</v>
      </c>
      <c r="S1011" s="30">
        <f>SUM(S1006:S1009)</f>
        <v>0</v>
      </c>
      <c r="T1011" s="30">
        <f>SUM(T1006:T1009)</f>
        <v>0</v>
      </c>
      <c r="U1011" s="30">
        <f>SUM(U1006:U1009)</f>
        <v>0</v>
      </c>
      <c r="V1011" s="30">
        <f>SUM(V1006:V1009)</f>
        <v>0</v>
      </c>
      <c r="W1011" s="30"/>
      <c r="X1011" s="30">
        <f>SUM(X1006:X1009)</f>
        <v>18867.248739999999</v>
      </c>
      <c r="Y1011" s="30">
        <f>SUM(Y1006:Y1009)</f>
        <v>19431.409</v>
      </c>
      <c r="Z1011" s="30">
        <f>SUM(Z1006:Z1009)</f>
        <v>34470.447999999997</v>
      </c>
      <c r="AA1011" s="30">
        <f>SUM(AA1006:AA1009)</f>
        <v>19431.409739999999</v>
      </c>
      <c r="AB1011" s="30">
        <f>SUM(AB1006:AB1009)</f>
        <v>34470.448799999998</v>
      </c>
      <c r="AC1011" s="30"/>
      <c r="AD1011" s="30"/>
    </row>
    <row r="1012" spans="1:30" x14ac:dyDescent="0.2">
      <c r="A1012" s="18"/>
      <c r="D1012" s="21" t="s">
        <v>57</v>
      </c>
      <c r="E1012" s="21" t="s">
        <v>57</v>
      </c>
      <c r="F1012" s="21" t="s">
        <v>57</v>
      </c>
      <c r="G1012" s="21"/>
      <c r="H1012" s="21" t="s">
        <v>57</v>
      </c>
      <c r="I1012" s="21" t="s">
        <v>57</v>
      </c>
      <c r="J1012" s="21" t="s">
        <v>57</v>
      </c>
      <c r="K1012" s="21" t="s">
        <v>57</v>
      </c>
      <c r="L1012" s="21" t="s">
        <v>57</v>
      </c>
      <c r="M1012" s="21"/>
      <c r="N1012" s="21" t="s">
        <v>57</v>
      </c>
      <c r="O1012" s="21" t="s">
        <v>57</v>
      </c>
      <c r="P1012" s="21" t="s">
        <v>57</v>
      </c>
      <c r="Q1012" s="21"/>
      <c r="R1012" s="21" t="s">
        <v>57</v>
      </c>
      <c r="S1012" s="21" t="s">
        <v>57</v>
      </c>
      <c r="T1012" s="21" t="s">
        <v>57</v>
      </c>
      <c r="U1012" s="21" t="s">
        <v>57</v>
      </c>
      <c r="V1012" s="21" t="s">
        <v>57</v>
      </c>
      <c r="W1012" s="21"/>
      <c r="X1012" s="21" t="s">
        <v>57</v>
      </c>
      <c r="Y1012" s="21" t="s">
        <v>57</v>
      </c>
      <c r="Z1012" s="21" t="s">
        <v>57</v>
      </c>
      <c r="AA1012" s="21" t="s">
        <v>57</v>
      </c>
      <c r="AB1012" s="21" t="s">
        <v>57</v>
      </c>
      <c r="AC1012" s="21"/>
      <c r="AD1012" s="21"/>
    </row>
    <row r="1013" spans="1:30" x14ac:dyDescent="0.2">
      <c r="A1013" s="18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  <c r="AB1013" s="21"/>
      <c r="AC1013" s="21"/>
      <c r="AD1013" s="21"/>
    </row>
    <row r="1014" spans="1:30" x14ac:dyDescent="0.2">
      <c r="A1014" s="18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  <c r="AB1014" s="21"/>
      <c r="AC1014" s="21"/>
      <c r="AD1014" s="21"/>
    </row>
    <row r="1015" spans="1:30" x14ac:dyDescent="0.2">
      <c r="A1015" s="18">
        <v>78</v>
      </c>
      <c r="B1015" s="3" t="s">
        <v>304</v>
      </c>
      <c r="C1015" s="17" t="s">
        <v>51</v>
      </c>
      <c r="D1015" s="19">
        <f>4798291.66/1000</f>
        <v>4798.2916599999999</v>
      </c>
      <c r="E1015" s="19">
        <f>[1]TOBEPAID!E775/1000</f>
        <v>0</v>
      </c>
      <c r="F1015" s="19">
        <f>[1]TOBEPAID!F775/1000</f>
        <v>0</v>
      </c>
      <c r="G1015" s="19">
        <f>[1]TOBEPAID!G775/1000</f>
        <v>0</v>
      </c>
      <c r="H1015" s="19">
        <f>4798000/1000</f>
        <v>4798</v>
      </c>
      <c r="I1015" s="19">
        <f>[1]TOBEPAID!I775/1000</f>
        <v>0</v>
      </c>
      <c r="J1015" s="19">
        <f>[1]TOBEPAID!J775/1000</f>
        <v>0</v>
      </c>
      <c r="K1015" s="19">
        <f>[1]TOBEPAID!K775/1000</f>
        <v>0</v>
      </c>
      <c r="L1015" s="19">
        <f>[1]TOBEPAID!L775/1000</f>
        <v>0</v>
      </c>
      <c r="M1015" s="19">
        <f>[1]TOBEPAID!M775/1000</f>
        <v>0</v>
      </c>
      <c r="N1015" s="19">
        <f>[1]TOBEPAID!N775/1000</f>
        <v>0</v>
      </c>
      <c r="O1015" s="19">
        <f>[1]TOBEPAID!O775/1000</f>
        <v>0</v>
      </c>
      <c r="P1015" s="19">
        <f>[1]TOBEPAID!P775/1000</f>
        <v>0</v>
      </c>
      <c r="Q1015" s="19">
        <f>[1]TOBEPAID!Q775/1000</f>
        <v>0</v>
      </c>
      <c r="R1015" s="19">
        <v>0</v>
      </c>
      <c r="S1015" s="19">
        <f>[1]TOBEPAID!S775/1000</f>
        <v>0</v>
      </c>
      <c r="T1015" s="19">
        <f>[1]TOBEPAID!T775/1000</f>
        <v>0</v>
      </c>
      <c r="U1015" s="19">
        <f>[1]TOBEPAID!U775/1000</f>
        <v>0</v>
      </c>
      <c r="V1015" s="19">
        <f>[1]TOBEPAID!V775/1000</f>
        <v>0</v>
      </c>
      <c r="W1015" s="19">
        <f>[1]TOBEPAID!W775/1000</f>
        <v>0</v>
      </c>
      <c r="X1015" s="19">
        <f>[1]TOBEPAID!X775/1000</f>
        <v>0</v>
      </c>
      <c r="Y1015" s="19">
        <f t="shared" ref="Y1015:Y1021" si="186">+H1015+R1015</f>
        <v>4798</v>
      </c>
      <c r="Z1015" s="19">
        <f t="shared" ref="Z1015:Z1021" si="187">+D1015-Y1015</f>
        <v>0.29165999999986525</v>
      </c>
      <c r="AA1015" s="19">
        <f>[1]TOBEPAID!AA775/1000</f>
        <v>0</v>
      </c>
      <c r="AB1015" s="19">
        <f>[1]TOBEPAID!AB775/1000</f>
        <v>2557.6198300000001</v>
      </c>
      <c r="AC1015" s="19"/>
      <c r="AD1015" s="19"/>
    </row>
    <row r="1016" spans="1:30" x14ac:dyDescent="0.2">
      <c r="A1016" s="18"/>
      <c r="C1016" s="3" t="s">
        <v>77</v>
      </c>
      <c r="D1016" s="19">
        <f>12000000/1000</f>
        <v>12000</v>
      </c>
      <c r="E1016" s="19"/>
      <c r="F1016" s="19"/>
      <c r="G1016" s="19"/>
      <c r="H1016" s="19">
        <f>12000000/1000</f>
        <v>12000</v>
      </c>
      <c r="I1016" s="19"/>
      <c r="J1016" s="19"/>
      <c r="K1016" s="19"/>
      <c r="L1016" s="19"/>
      <c r="M1016" s="19"/>
      <c r="N1016" s="19"/>
      <c r="O1016" s="19"/>
      <c r="P1016" s="19"/>
      <c r="Q1016" s="19"/>
      <c r="R1016" s="19">
        <v>0</v>
      </c>
      <c r="S1016" s="19"/>
      <c r="T1016" s="19"/>
      <c r="U1016" s="19"/>
      <c r="V1016" s="19"/>
      <c r="W1016" s="19"/>
      <c r="X1016" s="19"/>
      <c r="Y1016" s="19">
        <f t="shared" si="186"/>
        <v>12000</v>
      </c>
      <c r="Z1016" s="19">
        <f t="shared" si="187"/>
        <v>0</v>
      </c>
      <c r="AA1016" s="19"/>
      <c r="AB1016" s="19"/>
      <c r="AC1016" s="19"/>
      <c r="AD1016" s="19"/>
    </row>
    <row r="1017" spans="1:30" x14ac:dyDescent="0.2">
      <c r="A1017" s="18"/>
      <c r="C1017" s="3" t="s">
        <v>64</v>
      </c>
      <c r="D1017" s="19">
        <f>12000000/1000</f>
        <v>12000</v>
      </c>
      <c r="E1017" s="19"/>
      <c r="F1017" s="19"/>
      <c r="G1017" s="19"/>
      <c r="H1017" s="19">
        <f>12000000/1000</f>
        <v>12000</v>
      </c>
      <c r="I1017" s="19"/>
      <c r="J1017" s="19"/>
      <c r="K1017" s="19"/>
      <c r="L1017" s="19"/>
      <c r="M1017" s="19"/>
      <c r="N1017" s="19"/>
      <c r="O1017" s="19"/>
      <c r="P1017" s="19"/>
      <c r="Q1017" s="19"/>
      <c r="R1017" s="19">
        <v>0</v>
      </c>
      <c r="S1017" s="19"/>
      <c r="T1017" s="19"/>
      <c r="U1017" s="19"/>
      <c r="V1017" s="19"/>
      <c r="W1017" s="19"/>
      <c r="X1017" s="19"/>
      <c r="Y1017" s="19">
        <f t="shared" si="186"/>
        <v>12000</v>
      </c>
      <c r="Z1017" s="19">
        <f t="shared" si="187"/>
        <v>0</v>
      </c>
      <c r="AA1017" s="19"/>
      <c r="AB1017" s="19"/>
      <c r="AC1017" s="19"/>
      <c r="AD1017" s="19"/>
    </row>
    <row r="1018" spans="1:30" x14ac:dyDescent="0.2">
      <c r="A1018" s="18"/>
      <c r="C1018" s="3" t="s">
        <v>136</v>
      </c>
      <c r="D1018" s="19">
        <f>12000000/1000</f>
        <v>12000</v>
      </c>
      <c r="E1018" s="19"/>
      <c r="F1018" s="19"/>
      <c r="G1018" s="19"/>
      <c r="H1018" s="19">
        <f>12000000/1000</f>
        <v>12000</v>
      </c>
      <c r="I1018" s="19"/>
      <c r="J1018" s="19"/>
      <c r="K1018" s="19"/>
      <c r="L1018" s="19"/>
      <c r="M1018" s="19"/>
      <c r="N1018" s="19"/>
      <c r="O1018" s="19"/>
      <c r="P1018" s="19"/>
      <c r="Q1018" s="19"/>
      <c r="R1018" s="19">
        <v>0</v>
      </c>
      <c r="S1018" s="19"/>
      <c r="T1018" s="19"/>
      <c r="U1018" s="19"/>
      <c r="V1018" s="19"/>
      <c r="W1018" s="19"/>
      <c r="X1018" s="19"/>
      <c r="Y1018" s="19">
        <f>+H1018+R1018</f>
        <v>12000</v>
      </c>
      <c r="Z1018" s="19">
        <f>+D1018-Y1018</f>
        <v>0</v>
      </c>
      <c r="AA1018" s="19"/>
      <c r="AB1018" s="19"/>
      <c r="AC1018" s="19"/>
      <c r="AD1018" s="19"/>
    </row>
    <row r="1019" spans="1:30" x14ac:dyDescent="0.2">
      <c r="A1019" s="18"/>
      <c r="C1019" s="3" t="s">
        <v>52</v>
      </c>
      <c r="D1019" s="19">
        <f>1697084/1000</f>
        <v>1697.0840000000001</v>
      </c>
      <c r="E1019" s="19">
        <f>[1]TOBEPAID!E776/1000</f>
        <v>1697.0840000000001</v>
      </c>
      <c r="F1019" s="19">
        <f>[1]TOBEPAID!F776/1000</f>
        <v>0</v>
      </c>
      <c r="G1019" s="19">
        <f>[1]TOBEPAID!G776/1000</f>
        <v>0</v>
      </c>
      <c r="H1019" s="19">
        <f>1697084/1000</f>
        <v>1697.0840000000001</v>
      </c>
      <c r="I1019" s="19">
        <f>[1]TOBEPAID!I776/1000</f>
        <v>0</v>
      </c>
      <c r="J1019" s="19">
        <f>[1]TOBEPAID!J776/1000</f>
        <v>0</v>
      </c>
      <c r="K1019" s="19">
        <f>[1]TOBEPAID!K776/1000</f>
        <v>0</v>
      </c>
      <c r="L1019" s="19">
        <f>[1]TOBEPAID!L776/1000</f>
        <v>0</v>
      </c>
      <c r="M1019" s="19">
        <f>[1]TOBEPAID!M776/1000</f>
        <v>0</v>
      </c>
      <c r="N1019" s="19">
        <f>[1]TOBEPAID!N776/1000</f>
        <v>1697.0840000000001</v>
      </c>
      <c r="O1019" s="19">
        <f>[1]TOBEPAID!O776/1000</f>
        <v>0</v>
      </c>
      <c r="P1019" s="19">
        <f>[1]TOBEPAID!P776/1000</f>
        <v>0</v>
      </c>
      <c r="Q1019" s="19">
        <f>[1]TOBEPAID!Q776/1000</f>
        <v>0</v>
      </c>
      <c r="R1019" s="19">
        <v>0</v>
      </c>
      <c r="S1019" s="19">
        <f>[1]TOBEPAID!S776/1000</f>
        <v>0</v>
      </c>
      <c r="T1019" s="19">
        <f>[1]TOBEPAID!T776/1000</f>
        <v>0</v>
      </c>
      <c r="U1019" s="19">
        <f>[1]TOBEPAID!U776/1000</f>
        <v>0</v>
      </c>
      <c r="V1019" s="19">
        <f>[1]TOBEPAID!V776/1000</f>
        <v>0</v>
      </c>
      <c r="W1019" s="19">
        <f>[1]TOBEPAID!W776/1000</f>
        <v>0</v>
      </c>
      <c r="X1019" s="19">
        <f>[1]TOBEPAID!X776/1000</f>
        <v>0</v>
      </c>
      <c r="Y1019" s="19">
        <f t="shared" si="186"/>
        <v>1697.0840000000001</v>
      </c>
      <c r="Z1019" s="19">
        <f t="shared" si="187"/>
        <v>0</v>
      </c>
      <c r="AA1019" s="19">
        <f>[1]TOBEPAID!AA776/1000</f>
        <v>1697.0840000000001</v>
      </c>
      <c r="AB1019" s="19">
        <f>[1]TOBEPAID!AB776/1000</f>
        <v>0</v>
      </c>
      <c r="AC1019" s="19"/>
      <c r="AD1019" s="19"/>
    </row>
    <row r="1020" spans="1:30" x14ac:dyDescent="0.2">
      <c r="A1020" s="18"/>
      <c r="C1020" s="3" t="s">
        <v>55</v>
      </c>
      <c r="D1020" s="19">
        <v>0</v>
      </c>
      <c r="E1020" s="19">
        <f>[1]TOBEPAID!E777/1000</f>
        <v>0</v>
      </c>
      <c r="F1020" s="19">
        <f>[1]TOBEPAID!F777/1000</f>
        <v>0</v>
      </c>
      <c r="G1020" s="19">
        <f>[1]TOBEPAID!G777/1000</f>
        <v>0</v>
      </c>
      <c r="H1020" s="19">
        <v>0</v>
      </c>
      <c r="I1020" s="19">
        <f>[1]TOBEPAID!I777/1000</f>
        <v>0</v>
      </c>
      <c r="J1020" s="19">
        <f>[1]TOBEPAID!J777/1000</f>
        <v>0</v>
      </c>
      <c r="K1020" s="19">
        <f>[1]TOBEPAID!K777/1000</f>
        <v>0</v>
      </c>
      <c r="L1020" s="19">
        <f>[1]TOBEPAID!L777/1000</f>
        <v>0</v>
      </c>
      <c r="M1020" s="19">
        <f>[1]TOBEPAID!M777/1000</f>
        <v>0</v>
      </c>
      <c r="N1020" s="19">
        <f>[1]TOBEPAID!N777/1000</f>
        <v>0</v>
      </c>
      <c r="O1020" s="19">
        <f>[1]TOBEPAID!O777/1000</f>
        <v>0</v>
      </c>
      <c r="P1020" s="19">
        <f>[1]TOBEPAID!P777/1000</f>
        <v>0</v>
      </c>
      <c r="Q1020" s="19">
        <f>[1]TOBEPAID!Q777/1000</f>
        <v>0</v>
      </c>
      <c r="R1020" s="19">
        <v>0</v>
      </c>
      <c r="S1020" s="19">
        <f>[1]TOBEPAID!S777/1000</f>
        <v>0</v>
      </c>
      <c r="T1020" s="19">
        <f>[1]TOBEPAID!T777/1000</f>
        <v>0</v>
      </c>
      <c r="U1020" s="19">
        <f>[1]TOBEPAID!U777/1000</f>
        <v>0</v>
      </c>
      <c r="V1020" s="19">
        <f>[1]TOBEPAID!V777/1000</f>
        <v>0</v>
      </c>
      <c r="W1020" s="19">
        <f>[1]TOBEPAID!W777/1000</f>
        <v>0</v>
      </c>
      <c r="X1020" s="19">
        <f>[1]TOBEPAID!X777/1000</f>
        <v>0</v>
      </c>
      <c r="Y1020" s="19">
        <f t="shared" si="186"/>
        <v>0</v>
      </c>
      <c r="Z1020" s="19">
        <f t="shared" si="187"/>
        <v>0</v>
      </c>
      <c r="AA1020" s="19">
        <f>[1]TOBEPAID!AA777/1000</f>
        <v>0</v>
      </c>
      <c r="AB1020" s="19">
        <f>[1]TOBEPAID!AB777/1000</f>
        <v>457.5</v>
      </c>
      <c r="AC1020" s="19"/>
      <c r="AD1020" s="19"/>
    </row>
    <row r="1021" spans="1:30" x14ac:dyDescent="0.2">
      <c r="A1021" s="18"/>
      <c r="C1021" s="3" t="s">
        <v>98</v>
      </c>
      <c r="D1021" s="19">
        <v>0</v>
      </c>
      <c r="E1021" s="19">
        <f>[1]TOBEPAID!E778/1000</f>
        <v>0</v>
      </c>
      <c r="F1021" s="19">
        <f>[1]TOBEPAID!F778/1000</f>
        <v>0</v>
      </c>
      <c r="G1021" s="19">
        <f>[1]TOBEPAID!G778/1000</f>
        <v>0</v>
      </c>
      <c r="H1021" s="19">
        <v>0</v>
      </c>
      <c r="I1021" s="19">
        <f>[1]TOBEPAID!I778/1000</f>
        <v>0</v>
      </c>
      <c r="J1021" s="19">
        <f>[1]TOBEPAID!J778/1000</f>
        <v>0</v>
      </c>
      <c r="K1021" s="19">
        <f>[1]TOBEPAID!K778/1000</f>
        <v>0</v>
      </c>
      <c r="L1021" s="19">
        <f>[1]TOBEPAID!L778/1000</f>
        <v>0</v>
      </c>
      <c r="M1021" s="19">
        <f>[1]TOBEPAID!M778/1000</f>
        <v>0</v>
      </c>
      <c r="N1021" s="19">
        <f>[1]TOBEPAID!N778/1000</f>
        <v>0</v>
      </c>
      <c r="O1021" s="19">
        <f>[1]TOBEPAID!O778/1000</f>
        <v>0</v>
      </c>
      <c r="P1021" s="19">
        <f>[1]TOBEPAID!P778/1000</f>
        <v>0</v>
      </c>
      <c r="Q1021" s="19">
        <f>[1]TOBEPAID!Q778/1000</f>
        <v>0</v>
      </c>
      <c r="R1021" s="19">
        <v>0</v>
      </c>
      <c r="S1021" s="19">
        <f>[1]TOBEPAID!S778/1000</f>
        <v>0</v>
      </c>
      <c r="T1021" s="19">
        <f>[1]TOBEPAID!T778/1000</f>
        <v>0</v>
      </c>
      <c r="U1021" s="19">
        <f>[1]TOBEPAID!U778/1000</f>
        <v>0</v>
      </c>
      <c r="V1021" s="19">
        <f>[1]TOBEPAID!V778/1000</f>
        <v>0</v>
      </c>
      <c r="W1021" s="19">
        <f>[1]TOBEPAID!W778/1000</f>
        <v>0</v>
      </c>
      <c r="X1021" s="19">
        <f>[1]TOBEPAID!X778/1000</f>
        <v>0</v>
      </c>
      <c r="Y1021" s="19">
        <f t="shared" si="186"/>
        <v>0</v>
      </c>
      <c r="Z1021" s="19">
        <f t="shared" si="187"/>
        <v>0</v>
      </c>
      <c r="AA1021" s="19">
        <f>[1]TOBEPAID!AA778/1000</f>
        <v>0</v>
      </c>
      <c r="AB1021" s="19">
        <f>[1]TOBEPAID!AB778/1000</f>
        <v>1783.17183</v>
      </c>
      <c r="AC1021" s="19"/>
      <c r="AD1021" s="19"/>
    </row>
    <row r="1022" spans="1:30" x14ac:dyDescent="0.2">
      <c r="A1022" s="18"/>
      <c r="D1022" s="21" t="s">
        <v>57</v>
      </c>
      <c r="E1022" s="21" t="s">
        <v>57</v>
      </c>
      <c r="F1022" s="21" t="s">
        <v>57</v>
      </c>
      <c r="G1022" s="21"/>
      <c r="H1022" s="21" t="s">
        <v>57</v>
      </c>
      <c r="I1022" s="21" t="s">
        <v>57</v>
      </c>
      <c r="J1022" s="21" t="s">
        <v>57</v>
      </c>
      <c r="K1022" s="21" t="s">
        <v>57</v>
      </c>
      <c r="L1022" s="21" t="s">
        <v>57</v>
      </c>
      <c r="M1022" s="21"/>
      <c r="N1022" s="21" t="s">
        <v>57</v>
      </c>
      <c r="O1022" s="21" t="s">
        <v>57</v>
      </c>
      <c r="P1022" s="21" t="s">
        <v>57</v>
      </c>
      <c r="Q1022" s="21"/>
      <c r="R1022" s="21" t="s">
        <v>57</v>
      </c>
      <c r="S1022" s="21" t="s">
        <v>57</v>
      </c>
      <c r="T1022" s="21" t="s">
        <v>57</v>
      </c>
      <c r="U1022" s="21" t="s">
        <v>57</v>
      </c>
      <c r="V1022" s="21" t="s">
        <v>57</v>
      </c>
      <c r="W1022" s="21"/>
      <c r="X1022" s="21" t="s">
        <v>57</v>
      </c>
      <c r="Y1022" s="21" t="s">
        <v>57</v>
      </c>
      <c r="Z1022" s="21" t="s">
        <v>57</v>
      </c>
      <c r="AA1022" s="21" t="s">
        <v>57</v>
      </c>
      <c r="AB1022" s="21" t="s">
        <v>57</v>
      </c>
      <c r="AC1022" s="21"/>
      <c r="AD1022" s="21"/>
    </row>
    <row r="1023" spans="1:30" x14ac:dyDescent="0.2">
      <c r="A1023" s="18"/>
      <c r="D1023" s="30">
        <f>SUM(D1015:D1021)</f>
        <v>42495.375660000005</v>
      </c>
      <c r="E1023" s="30">
        <f>SUM(E1015:E1021)</f>
        <v>1697.0840000000001</v>
      </c>
      <c r="F1023" s="30">
        <f>SUM(F1015:F1021)</f>
        <v>0</v>
      </c>
      <c r="G1023" s="30"/>
      <c r="H1023" s="30">
        <f>SUM(H1015:H1021)</f>
        <v>42495.084000000003</v>
      </c>
      <c r="I1023" s="30">
        <f>SUM(I1015:I1021)</f>
        <v>0</v>
      </c>
      <c r="J1023" s="30">
        <f>SUM(J1015:J1021)</f>
        <v>0</v>
      </c>
      <c r="K1023" s="30">
        <f>SUM(K1015:K1021)</f>
        <v>0</v>
      </c>
      <c r="L1023" s="30">
        <f>SUM(L1015:L1021)</f>
        <v>0</v>
      </c>
      <c r="M1023" s="30"/>
      <c r="N1023" s="30">
        <f>SUM(N1015:N1021)</f>
        <v>1697.0840000000001</v>
      </c>
      <c r="O1023" s="30">
        <f>SUM(O1015:O1021)</f>
        <v>0</v>
      </c>
      <c r="P1023" s="30">
        <f>SUM(P1015:P1021)</f>
        <v>0</v>
      </c>
      <c r="Q1023" s="30"/>
      <c r="R1023" s="30">
        <f>SUM(R1015:R1021)</f>
        <v>0</v>
      </c>
      <c r="S1023" s="30">
        <f>SUM(S1015:S1021)</f>
        <v>0</v>
      </c>
      <c r="T1023" s="30">
        <f>SUM(T1015:T1021)</f>
        <v>0</v>
      </c>
      <c r="U1023" s="30">
        <f>SUM(U1015:U1021)</f>
        <v>0</v>
      </c>
      <c r="V1023" s="30">
        <f>SUM(V1015:V1021)</f>
        <v>0</v>
      </c>
      <c r="W1023" s="30"/>
      <c r="X1023" s="30">
        <f>SUM(X1015:X1021)</f>
        <v>0</v>
      </c>
      <c r="Y1023" s="30">
        <f>SUM(Y1015:Y1021)</f>
        <v>42495.084000000003</v>
      </c>
      <c r="Z1023" s="30">
        <f>SUM(Z1015:Z1021)</f>
        <v>0.29165999999986525</v>
      </c>
      <c r="AA1023" s="30">
        <f>SUM(AA1015:AA1021)</f>
        <v>1697.0840000000001</v>
      </c>
      <c r="AB1023" s="30">
        <f>SUM(AB1015:AB1021)</f>
        <v>4798.2916599999999</v>
      </c>
      <c r="AC1023" s="30"/>
      <c r="AD1023" s="30"/>
    </row>
    <row r="1024" spans="1:30" x14ac:dyDescent="0.2">
      <c r="A1024" s="18"/>
      <c r="D1024" s="21" t="s">
        <v>57</v>
      </c>
      <c r="E1024" s="21" t="s">
        <v>57</v>
      </c>
      <c r="F1024" s="21" t="s">
        <v>57</v>
      </c>
      <c r="G1024" s="21"/>
      <c r="H1024" s="21" t="s">
        <v>57</v>
      </c>
      <c r="I1024" s="21" t="s">
        <v>57</v>
      </c>
      <c r="J1024" s="21" t="s">
        <v>57</v>
      </c>
      <c r="K1024" s="21" t="s">
        <v>57</v>
      </c>
      <c r="L1024" s="21" t="s">
        <v>57</v>
      </c>
      <c r="M1024" s="21"/>
      <c r="N1024" s="21" t="s">
        <v>57</v>
      </c>
      <c r="O1024" s="21" t="s">
        <v>57</v>
      </c>
      <c r="P1024" s="21" t="s">
        <v>57</v>
      </c>
      <c r="Q1024" s="21"/>
      <c r="R1024" s="21" t="s">
        <v>57</v>
      </c>
      <c r="S1024" s="21" t="s">
        <v>57</v>
      </c>
      <c r="T1024" s="21" t="s">
        <v>57</v>
      </c>
      <c r="U1024" s="21" t="s">
        <v>57</v>
      </c>
      <c r="V1024" s="21" t="s">
        <v>57</v>
      </c>
      <c r="W1024" s="21"/>
      <c r="X1024" s="21" t="s">
        <v>57</v>
      </c>
      <c r="Y1024" s="21" t="s">
        <v>57</v>
      </c>
      <c r="Z1024" s="21" t="s">
        <v>57</v>
      </c>
      <c r="AA1024" s="21" t="s">
        <v>57</v>
      </c>
      <c r="AB1024" s="21" t="s">
        <v>57</v>
      </c>
      <c r="AC1024" s="21"/>
      <c r="AD1024" s="21"/>
    </row>
    <row r="1025" spans="1:30" x14ac:dyDescent="0.2">
      <c r="A1025" s="18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  <c r="AB1025" s="21"/>
      <c r="AC1025" s="21"/>
      <c r="AD1025" s="21"/>
    </row>
    <row r="1026" spans="1:30" x14ac:dyDescent="0.2">
      <c r="A1026" s="18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  <c r="AB1026" s="21"/>
      <c r="AC1026" s="21"/>
      <c r="AD1026" s="21"/>
    </row>
    <row r="1027" spans="1:30" x14ac:dyDescent="0.2">
      <c r="A1027" s="18">
        <v>79</v>
      </c>
      <c r="B1027" s="3" t="s">
        <v>305</v>
      </c>
      <c r="C1027" s="17" t="s">
        <v>51</v>
      </c>
      <c r="D1027" s="19">
        <f>21080663/1000</f>
        <v>21080.663</v>
      </c>
      <c r="E1027" s="19">
        <f>[1]TOBEPAID!E782/1000</f>
        <v>0</v>
      </c>
      <c r="F1027" s="19">
        <f>[1]TOBEPAID!F782/1000</f>
        <v>0</v>
      </c>
      <c r="G1027" s="19">
        <f>[1]TOBEPAID!G782/1000</f>
        <v>0</v>
      </c>
      <c r="H1027" s="19">
        <f>20349490.03/1000</f>
        <v>20349.490030000001</v>
      </c>
      <c r="I1027" s="19">
        <f>[1]TOBEPAID!I782/1000</f>
        <v>0</v>
      </c>
      <c r="J1027" s="19">
        <f>[1]TOBEPAID!J782/1000</f>
        <v>0</v>
      </c>
      <c r="K1027" s="19">
        <f>[1]TOBEPAID!K782/1000</f>
        <v>0</v>
      </c>
      <c r="L1027" s="19">
        <f>[1]TOBEPAID!L782/1000</f>
        <v>0</v>
      </c>
      <c r="M1027" s="19">
        <f>[1]TOBEPAID!M782/1000</f>
        <v>0</v>
      </c>
      <c r="N1027" s="19">
        <f>[1]TOBEPAID!N782/1000</f>
        <v>0</v>
      </c>
      <c r="O1027" s="19">
        <f>[1]TOBEPAID!O782/1000</f>
        <v>0</v>
      </c>
      <c r="P1027" s="19">
        <f>[1]TOBEPAID!P782/1000</f>
        <v>0</v>
      </c>
      <c r="Q1027" s="19">
        <f>[1]TOBEPAID!Q782/1000</f>
        <v>0</v>
      </c>
      <c r="R1027" s="19">
        <v>2.82</v>
      </c>
      <c r="S1027" s="19">
        <f>[1]TOBEPAID!S782/1000</f>
        <v>0</v>
      </c>
      <c r="T1027" s="19">
        <f>[1]TOBEPAID!T782/1000</f>
        <v>0</v>
      </c>
      <c r="U1027" s="19">
        <f>[1]TOBEPAID!U782/1000</f>
        <v>0</v>
      </c>
      <c r="V1027" s="19">
        <f>[1]TOBEPAID!V782/1000</f>
        <v>0</v>
      </c>
      <c r="W1027" s="19">
        <f>[1]TOBEPAID!W782/1000</f>
        <v>0</v>
      </c>
      <c r="X1027" s="19">
        <f>[1]TOBEPAID!X782/1000</f>
        <v>0</v>
      </c>
      <c r="Y1027" s="19">
        <f t="shared" ref="Y1027:Y1032" si="188">+H1027+R1027</f>
        <v>20352.310030000001</v>
      </c>
      <c r="Z1027" s="19">
        <f t="shared" ref="Z1027:Z1032" si="189">+D1027-Y1027</f>
        <v>728.35296999999991</v>
      </c>
      <c r="AA1027" s="19">
        <f>[1]TOBEPAID!AA782/1000</f>
        <v>0</v>
      </c>
      <c r="AB1027" s="19">
        <f>[1]TOBEPAID!AB782/1000</f>
        <v>8934.0538800000013</v>
      </c>
      <c r="AC1027" s="19"/>
      <c r="AD1027" s="19"/>
    </row>
    <row r="1028" spans="1:30" x14ac:dyDescent="0.2">
      <c r="A1028" s="18"/>
      <c r="C1028" s="3" t="s">
        <v>52</v>
      </c>
      <c r="D1028" s="19">
        <f>189662/1000</f>
        <v>189.66200000000001</v>
      </c>
      <c r="E1028" s="19">
        <f>[1]TOBEPAID!E783/1000</f>
        <v>189.66200000000001</v>
      </c>
      <c r="F1028" s="19">
        <f>[1]TOBEPAID!F783/1000</f>
        <v>0</v>
      </c>
      <c r="G1028" s="19">
        <f>[1]TOBEPAID!G783/1000</f>
        <v>0</v>
      </c>
      <c r="H1028" s="19">
        <f>189662/1000</f>
        <v>189.66200000000001</v>
      </c>
      <c r="I1028" s="19">
        <f>[1]TOBEPAID!I783/1000</f>
        <v>0</v>
      </c>
      <c r="J1028" s="19">
        <f>[1]TOBEPAID!J783/1000</f>
        <v>0</v>
      </c>
      <c r="K1028" s="19">
        <f>[1]TOBEPAID!K783/1000</f>
        <v>0</v>
      </c>
      <c r="L1028" s="19">
        <f>[1]TOBEPAID!L783/1000</f>
        <v>0</v>
      </c>
      <c r="M1028" s="19">
        <f>[1]TOBEPAID!M783/1000</f>
        <v>0</v>
      </c>
      <c r="N1028" s="19">
        <f>[1]TOBEPAID!N783/1000</f>
        <v>189.66200000000001</v>
      </c>
      <c r="O1028" s="19">
        <f>[1]TOBEPAID!O783/1000</f>
        <v>0</v>
      </c>
      <c r="P1028" s="19">
        <f>[1]TOBEPAID!P783/1000</f>
        <v>0</v>
      </c>
      <c r="Q1028" s="19">
        <f>[1]TOBEPAID!Q783/1000</f>
        <v>0</v>
      </c>
      <c r="R1028" s="19">
        <v>0</v>
      </c>
      <c r="S1028" s="19">
        <f>[1]TOBEPAID!S783/1000</f>
        <v>0</v>
      </c>
      <c r="T1028" s="19">
        <f>[1]TOBEPAID!T783/1000</f>
        <v>0</v>
      </c>
      <c r="U1028" s="19">
        <f>[1]TOBEPAID!U783/1000</f>
        <v>0</v>
      </c>
      <c r="V1028" s="19">
        <f>[1]TOBEPAID!V783/1000</f>
        <v>0</v>
      </c>
      <c r="W1028" s="19">
        <f>[1]TOBEPAID!W783/1000</f>
        <v>0</v>
      </c>
      <c r="X1028" s="19">
        <f>[1]TOBEPAID!X783/1000</f>
        <v>0</v>
      </c>
      <c r="Y1028" s="19">
        <f t="shared" si="188"/>
        <v>189.66200000000001</v>
      </c>
      <c r="Z1028" s="19">
        <f t="shared" si="189"/>
        <v>0</v>
      </c>
      <c r="AA1028" s="19">
        <f>[1]TOBEPAID!AA783/1000</f>
        <v>189.66200000000001</v>
      </c>
      <c r="AB1028" s="19">
        <f>[1]TOBEPAID!AB783/1000</f>
        <v>0</v>
      </c>
      <c r="AC1028" s="19"/>
      <c r="AD1028" s="19"/>
    </row>
    <row r="1029" spans="1:30" x14ac:dyDescent="0.2">
      <c r="A1029" s="18"/>
      <c r="C1029" s="3" t="s">
        <v>64</v>
      </c>
      <c r="D1029" s="19">
        <f>12000000/1000</f>
        <v>12000</v>
      </c>
      <c r="E1029" s="19"/>
      <c r="F1029" s="19"/>
      <c r="G1029" s="19"/>
      <c r="H1029" s="19">
        <f>12000000/1000</f>
        <v>12000</v>
      </c>
      <c r="I1029" s="19"/>
      <c r="J1029" s="19"/>
      <c r="K1029" s="19"/>
      <c r="L1029" s="19"/>
      <c r="M1029" s="19"/>
      <c r="N1029" s="19"/>
      <c r="O1029" s="19"/>
      <c r="P1029" s="19"/>
      <c r="Q1029" s="19"/>
      <c r="R1029" s="19">
        <v>0</v>
      </c>
      <c r="S1029" s="19"/>
      <c r="T1029" s="19"/>
      <c r="U1029" s="19"/>
      <c r="V1029" s="19"/>
      <c r="W1029" s="19"/>
      <c r="X1029" s="19"/>
      <c r="Y1029" s="19">
        <f t="shared" si="188"/>
        <v>12000</v>
      </c>
      <c r="Z1029" s="19">
        <f t="shared" si="189"/>
        <v>0</v>
      </c>
      <c r="AA1029" s="19"/>
      <c r="AB1029" s="19"/>
      <c r="AC1029" s="19"/>
      <c r="AD1029" s="19"/>
    </row>
    <row r="1030" spans="1:30" x14ac:dyDescent="0.2">
      <c r="A1030" s="18"/>
      <c r="C1030" s="3" t="s">
        <v>96</v>
      </c>
      <c r="D1030" s="19">
        <f>5995171/1000</f>
        <v>5995.1710000000003</v>
      </c>
      <c r="E1030" s="19">
        <f>[1]TOBEPAID!E784/1000</f>
        <v>0</v>
      </c>
      <c r="F1030" s="19">
        <f>[1]TOBEPAID!F784/1000</f>
        <v>0</v>
      </c>
      <c r="G1030" s="19">
        <f>[1]TOBEPAID!G784/1000</f>
        <v>0</v>
      </c>
      <c r="H1030" s="19">
        <v>0</v>
      </c>
      <c r="I1030" s="19">
        <f>[1]TOBEPAID!I784/1000</f>
        <v>0</v>
      </c>
      <c r="J1030" s="19">
        <f>[1]TOBEPAID!J784/1000</f>
        <v>0</v>
      </c>
      <c r="K1030" s="19">
        <f>[1]TOBEPAID!K784/1000</f>
        <v>0</v>
      </c>
      <c r="L1030" s="19">
        <f>[1]TOBEPAID!L784/1000</f>
        <v>0</v>
      </c>
      <c r="M1030" s="19">
        <f>[1]TOBEPAID!M784/1000</f>
        <v>0</v>
      </c>
      <c r="N1030" s="19">
        <f>[1]TOBEPAID!N784/1000</f>
        <v>0</v>
      </c>
      <c r="O1030" s="19">
        <f>[1]TOBEPAID!O784/1000</f>
        <v>5995.1717699999999</v>
      </c>
      <c r="P1030" s="19">
        <f>[1]TOBEPAID!P784/1000</f>
        <v>0</v>
      </c>
      <c r="Q1030" s="19">
        <f>[1]TOBEPAID!Q784/1000</f>
        <v>0</v>
      </c>
      <c r="R1030" s="19">
        <f>5995171/1000</f>
        <v>5995.1710000000003</v>
      </c>
      <c r="S1030" s="19">
        <f>[1]TOBEPAID!S784/1000</f>
        <v>0</v>
      </c>
      <c r="T1030" s="19">
        <f>[1]TOBEPAID!T784/1000</f>
        <v>0</v>
      </c>
      <c r="U1030" s="19">
        <f>[1]TOBEPAID!U784/1000</f>
        <v>0</v>
      </c>
      <c r="V1030" s="19">
        <f>[1]TOBEPAID!V784/1000</f>
        <v>0</v>
      </c>
      <c r="W1030" s="19">
        <f>[1]TOBEPAID!W784/1000</f>
        <v>0</v>
      </c>
      <c r="X1030" s="19">
        <f>[1]TOBEPAID!X784/1000</f>
        <v>5995.1717699999999</v>
      </c>
      <c r="Y1030" s="19">
        <f t="shared" si="188"/>
        <v>5995.1710000000003</v>
      </c>
      <c r="Z1030" s="19">
        <f t="shared" si="189"/>
        <v>0</v>
      </c>
      <c r="AA1030" s="19">
        <f>[1]TOBEPAID!AA784/1000</f>
        <v>5995.1717699999999</v>
      </c>
      <c r="AB1030" s="19">
        <f>[1]TOBEPAID!AB784/1000</f>
        <v>3495.3147300000005</v>
      </c>
      <c r="AC1030" s="19"/>
      <c r="AD1030" s="19"/>
    </row>
    <row r="1031" spans="1:30" x14ac:dyDescent="0.2">
      <c r="A1031" s="18"/>
      <c r="C1031" s="3" t="s">
        <v>55</v>
      </c>
      <c r="D1031" s="19">
        <v>0</v>
      </c>
      <c r="E1031" s="19">
        <f>[1]TOBEPAID!E785/1000</f>
        <v>0</v>
      </c>
      <c r="F1031" s="19">
        <f>[1]TOBEPAID!F785/1000</f>
        <v>0</v>
      </c>
      <c r="G1031" s="19">
        <f>[1]TOBEPAID!G785/1000</f>
        <v>0</v>
      </c>
      <c r="H1031" s="19">
        <v>0</v>
      </c>
      <c r="I1031" s="19">
        <f>[1]TOBEPAID!I785/1000</f>
        <v>0</v>
      </c>
      <c r="J1031" s="19">
        <f>[1]TOBEPAID!J785/1000</f>
        <v>0</v>
      </c>
      <c r="K1031" s="19">
        <f>[1]TOBEPAID!K785/1000</f>
        <v>0</v>
      </c>
      <c r="L1031" s="19">
        <f>[1]TOBEPAID!L785/1000</f>
        <v>0</v>
      </c>
      <c r="M1031" s="19">
        <f>[1]TOBEPAID!M785/1000</f>
        <v>0</v>
      </c>
      <c r="N1031" s="19">
        <f>[1]TOBEPAID!N785/1000</f>
        <v>0</v>
      </c>
      <c r="O1031" s="19">
        <f>[1]TOBEPAID!O785/1000</f>
        <v>0</v>
      </c>
      <c r="P1031" s="19">
        <f>[1]TOBEPAID!P785/1000</f>
        <v>0</v>
      </c>
      <c r="Q1031" s="19">
        <f>[1]TOBEPAID!Q785/1000</f>
        <v>0</v>
      </c>
      <c r="R1031" s="19">
        <v>0</v>
      </c>
      <c r="S1031" s="19">
        <f>[1]TOBEPAID!S785/1000</f>
        <v>0</v>
      </c>
      <c r="T1031" s="19">
        <f>[1]TOBEPAID!T785/1000</f>
        <v>0</v>
      </c>
      <c r="U1031" s="19">
        <f>[1]TOBEPAID!U785/1000</f>
        <v>0</v>
      </c>
      <c r="V1031" s="19">
        <f>[1]TOBEPAID!V785/1000</f>
        <v>0</v>
      </c>
      <c r="W1031" s="19">
        <f>[1]TOBEPAID!W785/1000</f>
        <v>0</v>
      </c>
      <c r="X1031" s="19">
        <f>[1]TOBEPAID!X785/1000</f>
        <v>0</v>
      </c>
      <c r="Y1031" s="19">
        <f t="shared" si="188"/>
        <v>0</v>
      </c>
      <c r="Z1031" s="19">
        <f t="shared" si="189"/>
        <v>0</v>
      </c>
      <c r="AA1031" s="19">
        <f>[1]TOBEPAID!AA785/1000</f>
        <v>0</v>
      </c>
      <c r="AB1031" s="19">
        <f>[1]TOBEPAID!AB785/1000</f>
        <v>7038</v>
      </c>
      <c r="AC1031" s="19"/>
      <c r="AD1031" s="19"/>
    </row>
    <row r="1032" spans="1:30" x14ac:dyDescent="0.2">
      <c r="A1032" s="18"/>
      <c r="C1032" s="3" t="s">
        <v>97</v>
      </c>
      <c r="D1032" s="19">
        <v>0</v>
      </c>
      <c r="E1032" s="19">
        <f>[1]TOBEPAID!E786/1000</f>
        <v>0</v>
      </c>
      <c r="F1032" s="19">
        <f>[1]TOBEPAID!F786/1000</f>
        <v>0</v>
      </c>
      <c r="G1032" s="19">
        <f>[1]TOBEPAID!G786/1000</f>
        <v>0</v>
      </c>
      <c r="H1032" s="19">
        <v>0</v>
      </c>
      <c r="I1032" s="19">
        <f>[1]TOBEPAID!I786/1000</f>
        <v>0</v>
      </c>
      <c r="J1032" s="19">
        <f>[1]TOBEPAID!J786/1000</f>
        <v>0</v>
      </c>
      <c r="K1032" s="19">
        <f>[1]TOBEPAID!K786/1000</f>
        <v>0</v>
      </c>
      <c r="L1032" s="19">
        <f>[1]TOBEPAID!L786/1000</f>
        <v>0</v>
      </c>
      <c r="M1032" s="19">
        <f>[1]TOBEPAID!M786/1000</f>
        <v>0</v>
      </c>
      <c r="N1032" s="19">
        <f>[1]TOBEPAID!N786/1000</f>
        <v>0</v>
      </c>
      <c r="O1032" s="19">
        <f>[1]TOBEPAID!O786/1000</f>
        <v>0</v>
      </c>
      <c r="P1032" s="19">
        <f>[1]TOBEPAID!P786/1000</f>
        <v>0</v>
      </c>
      <c r="Q1032" s="19">
        <f>[1]TOBEPAID!Q786/1000</f>
        <v>0</v>
      </c>
      <c r="R1032" s="19">
        <v>0</v>
      </c>
      <c r="S1032" s="19">
        <f>[1]TOBEPAID!S786/1000</f>
        <v>0</v>
      </c>
      <c r="T1032" s="19">
        <f>[1]TOBEPAID!T786/1000</f>
        <v>0</v>
      </c>
      <c r="U1032" s="19">
        <f>[1]TOBEPAID!U786/1000</f>
        <v>0</v>
      </c>
      <c r="V1032" s="19">
        <f>[1]TOBEPAID!V786/1000</f>
        <v>0</v>
      </c>
      <c r="W1032" s="19">
        <f>[1]TOBEPAID!W786/1000</f>
        <v>0</v>
      </c>
      <c r="X1032" s="19">
        <f>[1]TOBEPAID!X786/1000</f>
        <v>0</v>
      </c>
      <c r="Y1032" s="19">
        <f t="shared" si="188"/>
        <v>0</v>
      </c>
      <c r="Z1032" s="19">
        <f t="shared" si="189"/>
        <v>0</v>
      </c>
      <c r="AA1032" s="19">
        <f>[1]TOBEPAID!AA786/1000</f>
        <v>0</v>
      </c>
      <c r="AB1032" s="19">
        <f>[1]TOBEPAID!AB786/1000</f>
        <v>1613.2946000000002</v>
      </c>
      <c r="AC1032" s="19"/>
      <c r="AD1032" s="19"/>
    </row>
    <row r="1033" spans="1:30" x14ac:dyDescent="0.2">
      <c r="A1033" s="18"/>
      <c r="D1033" s="21" t="s">
        <v>57</v>
      </c>
      <c r="E1033" s="21" t="s">
        <v>57</v>
      </c>
      <c r="F1033" s="21" t="s">
        <v>57</v>
      </c>
      <c r="G1033" s="21"/>
      <c r="H1033" s="21" t="s">
        <v>57</v>
      </c>
      <c r="I1033" s="21" t="s">
        <v>57</v>
      </c>
      <c r="J1033" s="21" t="s">
        <v>57</v>
      </c>
      <c r="K1033" s="21" t="s">
        <v>57</v>
      </c>
      <c r="L1033" s="21" t="s">
        <v>57</v>
      </c>
      <c r="M1033" s="21"/>
      <c r="N1033" s="21" t="s">
        <v>57</v>
      </c>
      <c r="O1033" s="21" t="s">
        <v>57</v>
      </c>
      <c r="P1033" s="21" t="s">
        <v>57</v>
      </c>
      <c r="Q1033" s="21"/>
      <c r="R1033" s="21" t="s">
        <v>57</v>
      </c>
      <c r="S1033" s="21" t="s">
        <v>57</v>
      </c>
      <c r="T1033" s="21" t="s">
        <v>57</v>
      </c>
      <c r="U1033" s="21" t="s">
        <v>57</v>
      </c>
      <c r="V1033" s="21" t="s">
        <v>57</v>
      </c>
      <c r="W1033" s="21"/>
      <c r="X1033" s="21" t="s">
        <v>57</v>
      </c>
      <c r="Y1033" s="21" t="s">
        <v>57</v>
      </c>
      <c r="Z1033" s="21" t="s">
        <v>57</v>
      </c>
      <c r="AA1033" s="21" t="s">
        <v>57</v>
      </c>
      <c r="AB1033" s="21" t="s">
        <v>57</v>
      </c>
      <c r="AC1033" s="21"/>
      <c r="AD1033" s="21"/>
    </row>
    <row r="1034" spans="1:30" x14ac:dyDescent="0.2">
      <c r="A1034" s="18"/>
      <c r="D1034" s="30">
        <f>SUM(D1027:D1032)</f>
        <v>39265.495999999999</v>
      </c>
      <c r="E1034" s="30">
        <f>SUM(E1027:E1032)</f>
        <v>189.66200000000001</v>
      </c>
      <c r="F1034" s="30">
        <f>SUM(F1027:F1032)</f>
        <v>0</v>
      </c>
      <c r="G1034" s="30"/>
      <c r="H1034" s="30">
        <f>SUM(H1027:H1032)</f>
        <v>32539.152030000001</v>
      </c>
      <c r="I1034" s="30">
        <f>SUM(I1027:I1032)</f>
        <v>0</v>
      </c>
      <c r="J1034" s="30">
        <f>SUM(J1027:J1032)</f>
        <v>0</v>
      </c>
      <c r="K1034" s="30">
        <f>SUM(K1027:K1032)</f>
        <v>0</v>
      </c>
      <c r="L1034" s="30">
        <f>SUM(L1027:L1032)</f>
        <v>0</v>
      </c>
      <c r="M1034" s="30"/>
      <c r="N1034" s="30">
        <f>SUM(N1027:N1032)</f>
        <v>189.66200000000001</v>
      </c>
      <c r="O1034" s="30">
        <f>SUM(O1027:O1032)</f>
        <v>5995.1717699999999</v>
      </c>
      <c r="P1034" s="30">
        <f>SUM(P1027:P1032)</f>
        <v>0</v>
      </c>
      <c r="Q1034" s="30"/>
      <c r="R1034" s="30">
        <f>SUM(R1027:R1032)</f>
        <v>5997.991</v>
      </c>
      <c r="S1034" s="30">
        <f>SUM(S1027:S1032)</f>
        <v>0</v>
      </c>
      <c r="T1034" s="30">
        <f>SUM(T1027:T1032)</f>
        <v>0</v>
      </c>
      <c r="U1034" s="30">
        <f>SUM(U1027:U1032)</f>
        <v>0</v>
      </c>
      <c r="V1034" s="30">
        <f>SUM(V1027:V1032)</f>
        <v>0</v>
      </c>
      <c r="W1034" s="30"/>
      <c r="X1034" s="30">
        <f>SUM(X1027:X1032)</f>
        <v>5995.1717699999999</v>
      </c>
      <c r="Y1034" s="30">
        <f>SUM(Y1027:Y1032)</f>
        <v>38537.143029999999</v>
      </c>
      <c r="Z1034" s="30">
        <f>SUM(Z1027:Z1032)</f>
        <v>728.35296999999991</v>
      </c>
      <c r="AA1034" s="30">
        <f>SUM(AA1027:AA1032)</f>
        <v>6184.8337700000002</v>
      </c>
      <c r="AB1034" s="30">
        <f>SUM(AB1027:AB1032)</f>
        <v>21080.663210000002</v>
      </c>
      <c r="AC1034" s="30"/>
      <c r="AD1034" s="30"/>
    </row>
    <row r="1035" spans="1:30" x14ac:dyDescent="0.2">
      <c r="A1035" s="18"/>
      <c r="D1035" s="21" t="s">
        <v>57</v>
      </c>
      <c r="E1035" s="21" t="s">
        <v>57</v>
      </c>
      <c r="F1035" s="21" t="s">
        <v>57</v>
      </c>
      <c r="G1035" s="21"/>
      <c r="H1035" s="21" t="s">
        <v>57</v>
      </c>
      <c r="I1035" s="21" t="s">
        <v>57</v>
      </c>
      <c r="J1035" s="21" t="s">
        <v>57</v>
      </c>
      <c r="K1035" s="21" t="s">
        <v>57</v>
      </c>
      <c r="L1035" s="21" t="s">
        <v>57</v>
      </c>
      <c r="M1035" s="21"/>
      <c r="N1035" s="21" t="s">
        <v>57</v>
      </c>
      <c r="O1035" s="21" t="s">
        <v>57</v>
      </c>
      <c r="P1035" s="21" t="s">
        <v>57</v>
      </c>
      <c r="Q1035" s="21"/>
      <c r="R1035" s="21" t="s">
        <v>57</v>
      </c>
      <c r="S1035" s="21" t="s">
        <v>57</v>
      </c>
      <c r="T1035" s="21" t="s">
        <v>57</v>
      </c>
      <c r="U1035" s="21" t="s">
        <v>57</v>
      </c>
      <c r="V1035" s="21" t="s">
        <v>57</v>
      </c>
      <c r="W1035" s="21"/>
      <c r="X1035" s="21" t="s">
        <v>57</v>
      </c>
      <c r="Y1035" s="21" t="s">
        <v>57</v>
      </c>
      <c r="Z1035" s="21" t="s">
        <v>57</v>
      </c>
      <c r="AA1035" s="21" t="s">
        <v>57</v>
      </c>
      <c r="AB1035" s="21" t="s">
        <v>57</v>
      </c>
      <c r="AC1035" s="21"/>
      <c r="AD1035" s="21"/>
    </row>
    <row r="1036" spans="1:30" x14ac:dyDescent="0.2">
      <c r="A1036" s="18">
        <v>80</v>
      </c>
      <c r="B1036" s="3" t="s">
        <v>306</v>
      </c>
      <c r="C1036" s="17" t="s">
        <v>51</v>
      </c>
      <c r="D1036" s="19">
        <v>0</v>
      </c>
      <c r="E1036" s="19">
        <f>[1]TOBEPAID!E790/1000</f>
        <v>0</v>
      </c>
      <c r="F1036" s="19">
        <f>[1]TOBEPAID!F790/1000</f>
        <v>0</v>
      </c>
      <c r="G1036" s="19">
        <f>[1]TOBEPAID!G790/1000</f>
        <v>0</v>
      </c>
      <c r="H1036" s="19">
        <v>0</v>
      </c>
      <c r="I1036" s="19">
        <f>[1]TOBEPAID!I790/1000</f>
        <v>0</v>
      </c>
      <c r="J1036" s="19">
        <f>[1]TOBEPAID!J790/1000</f>
        <v>0</v>
      </c>
      <c r="K1036" s="19">
        <f>[1]TOBEPAID!K790/1000</f>
        <v>0</v>
      </c>
      <c r="L1036" s="19">
        <f>[1]TOBEPAID!L790/1000</f>
        <v>0</v>
      </c>
      <c r="M1036" s="19">
        <f>[1]TOBEPAID!M790/1000</f>
        <v>0</v>
      </c>
      <c r="N1036" s="19">
        <f>[1]TOBEPAID!N790/1000</f>
        <v>0</v>
      </c>
      <c r="O1036" s="19">
        <f>[1]TOBEPAID!O790/1000</f>
        <v>0</v>
      </c>
      <c r="P1036" s="19">
        <f>[1]TOBEPAID!P790/1000</f>
        <v>0</v>
      </c>
      <c r="Q1036" s="19">
        <f>[1]TOBEPAID!Q790/1000</f>
        <v>0</v>
      </c>
      <c r="R1036" s="19">
        <f>202413/1000</f>
        <v>202.41300000000001</v>
      </c>
      <c r="S1036" s="19">
        <f>[1]TOBEPAID!S790/1000</f>
        <v>0</v>
      </c>
      <c r="T1036" s="19">
        <f>[1]TOBEPAID!T790/1000</f>
        <v>0</v>
      </c>
      <c r="U1036" s="19">
        <f>[1]TOBEPAID!U790/1000</f>
        <v>0</v>
      </c>
      <c r="V1036" s="19">
        <f>[1]TOBEPAID!V790/1000</f>
        <v>0</v>
      </c>
      <c r="W1036" s="19">
        <f>[1]TOBEPAID!W790/1000</f>
        <v>0</v>
      </c>
      <c r="X1036" s="19">
        <f>[1]TOBEPAID!X790/1000</f>
        <v>0</v>
      </c>
      <c r="Y1036" s="19">
        <f>+H1036+R1036</f>
        <v>202.41300000000001</v>
      </c>
      <c r="Z1036" s="19">
        <f t="shared" ref="Z1036:Z1042" si="190">+D1036-Y1036</f>
        <v>-202.41300000000001</v>
      </c>
      <c r="AA1036" s="19">
        <f>[1]TOBEPAID!AA790/1000</f>
        <v>0</v>
      </c>
      <c r="AB1036" s="19">
        <f>[1]TOBEPAID!AB790/1000</f>
        <v>0</v>
      </c>
      <c r="AC1036" s="19" t="s">
        <v>116</v>
      </c>
      <c r="AD1036" s="19"/>
    </row>
    <row r="1037" spans="1:30" x14ac:dyDescent="0.2">
      <c r="A1037" s="18"/>
      <c r="C1037" s="3" t="s">
        <v>52</v>
      </c>
      <c r="D1037" s="19">
        <v>21</v>
      </c>
      <c r="E1037" s="19">
        <f>[1]TOBEPAID!E791/1000</f>
        <v>21</v>
      </c>
      <c r="F1037" s="19">
        <f>[1]TOBEPAID!F791/1000</f>
        <v>0</v>
      </c>
      <c r="G1037" s="19">
        <f>[1]TOBEPAID!G791/1000</f>
        <v>0</v>
      </c>
      <c r="H1037" s="19">
        <v>21</v>
      </c>
      <c r="I1037" s="19">
        <f>[1]TOBEPAID!I791/1000</f>
        <v>0</v>
      </c>
      <c r="J1037" s="19">
        <f>[1]TOBEPAID!J791/1000</f>
        <v>0</v>
      </c>
      <c r="K1037" s="19">
        <f>[1]TOBEPAID!K791/1000</f>
        <v>0</v>
      </c>
      <c r="L1037" s="19">
        <f>[1]TOBEPAID!L791/1000</f>
        <v>0</v>
      </c>
      <c r="M1037" s="19">
        <f>[1]TOBEPAID!M791/1000</f>
        <v>0</v>
      </c>
      <c r="N1037" s="19">
        <f>[1]TOBEPAID!N791/1000</f>
        <v>21</v>
      </c>
      <c r="O1037" s="19">
        <f>[1]TOBEPAID!O791/1000</f>
        <v>0</v>
      </c>
      <c r="P1037" s="19">
        <f>[1]TOBEPAID!P791/1000</f>
        <v>0</v>
      </c>
      <c r="Q1037" s="19">
        <f>[1]TOBEPAID!Q791/1000</f>
        <v>0</v>
      </c>
      <c r="R1037" s="19">
        <v>0</v>
      </c>
      <c r="S1037" s="19">
        <f>[1]TOBEPAID!S791/1000</f>
        <v>0</v>
      </c>
      <c r="T1037" s="19">
        <f>[1]TOBEPAID!T791/1000</f>
        <v>0</v>
      </c>
      <c r="U1037" s="19">
        <f>[1]TOBEPAID!U791/1000</f>
        <v>0</v>
      </c>
      <c r="V1037" s="19">
        <f>[1]TOBEPAID!V791/1000</f>
        <v>0</v>
      </c>
      <c r="W1037" s="19">
        <f>[1]TOBEPAID!W791/1000</f>
        <v>0</v>
      </c>
      <c r="X1037" s="19">
        <f>[1]TOBEPAID!X791/1000</f>
        <v>0</v>
      </c>
      <c r="Y1037" s="19">
        <f t="shared" ref="Y1037:Y1042" si="191">+H1037+R1037</f>
        <v>21</v>
      </c>
      <c r="Z1037" s="19">
        <f t="shared" si="190"/>
        <v>0</v>
      </c>
      <c r="AA1037" s="19">
        <f>[1]TOBEPAID!AA791/1000</f>
        <v>21</v>
      </c>
      <c r="AB1037" s="19">
        <f>[1]TOBEPAID!AB791/1000</f>
        <v>0</v>
      </c>
      <c r="AC1037" s="19"/>
      <c r="AD1037" s="19"/>
    </row>
    <row r="1038" spans="1:30" x14ac:dyDescent="0.2">
      <c r="C1038" s="3" t="s">
        <v>67</v>
      </c>
      <c r="D1038" s="19">
        <f>5000000/1000</f>
        <v>5000</v>
      </c>
      <c r="E1038" s="19">
        <f>[1]TOBEPAID!E792/1000</f>
        <v>5000</v>
      </c>
      <c r="F1038" s="19">
        <f>[1]TOBEPAID!F792/1000</f>
        <v>0</v>
      </c>
      <c r="G1038" s="19">
        <f>[1]TOBEPAID!G792/1000</f>
        <v>0</v>
      </c>
      <c r="H1038" s="19">
        <f>5000000/1000</f>
        <v>5000</v>
      </c>
      <c r="I1038" s="19">
        <f>[1]TOBEPAID!I792/1000</f>
        <v>0</v>
      </c>
      <c r="J1038" s="19">
        <f>[1]TOBEPAID!J792/1000</f>
        <v>0</v>
      </c>
      <c r="K1038" s="19">
        <f>[1]TOBEPAID!K792/1000</f>
        <v>0</v>
      </c>
      <c r="L1038" s="19">
        <f>[1]TOBEPAID!L792/1000</f>
        <v>0</v>
      </c>
      <c r="M1038" s="19">
        <f>[1]TOBEPAID!M792/1000</f>
        <v>0</v>
      </c>
      <c r="N1038" s="19">
        <f>[1]TOBEPAID!N792/1000</f>
        <v>5000</v>
      </c>
      <c r="O1038" s="19">
        <f>[1]TOBEPAID!O792/1000</f>
        <v>0</v>
      </c>
      <c r="P1038" s="19">
        <f>[1]TOBEPAID!P792/1000</f>
        <v>0</v>
      </c>
      <c r="Q1038" s="19">
        <f>[1]TOBEPAID!Q792/1000</f>
        <v>0</v>
      </c>
      <c r="R1038" s="19">
        <v>0</v>
      </c>
      <c r="S1038" s="19">
        <f>[1]TOBEPAID!S792/1000</f>
        <v>0</v>
      </c>
      <c r="T1038" s="19">
        <f>[1]TOBEPAID!T792/1000</f>
        <v>0</v>
      </c>
      <c r="U1038" s="19">
        <f>[1]TOBEPAID!U792/1000</f>
        <v>0</v>
      </c>
      <c r="V1038" s="19">
        <f>[1]TOBEPAID!V792/1000</f>
        <v>0</v>
      </c>
      <c r="W1038" s="19">
        <f>[1]TOBEPAID!W792/1000</f>
        <v>0</v>
      </c>
      <c r="X1038" s="19">
        <f>[1]TOBEPAID!X792/1000</f>
        <v>0</v>
      </c>
      <c r="Y1038" s="19">
        <f t="shared" si="191"/>
        <v>5000</v>
      </c>
      <c r="Z1038" s="19">
        <f t="shared" si="190"/>
        <v>0</v>
      </c>
      <c r="AA1038" s="19">
        <f>[1]TOBEPAID!AA792/1000</f>
        <v>5000</v>
      </c>
      <c r="AB1038" s="19">
        <f>[1]TOBEPAID!AB792/1000</f>
        <v>0</v>
      </c>
      <c r="AC1038" s="19"/>
      <c r="AD1038" s="19"/>
    </row>
    <row r="1039" spans="1:30" x14ac:dyDescent="0.2">
      <c r="C1039" s="3" t="s">
        <v>75</v>
      </c>
      <c r="D1039" s="3">
        <f>1250000/1000</f>
        <v>1250</v>
      </c>
      <c r="H1039" s="3">
        <f>1250000/1000</f>
        <v>1250</v>
      </c>
      <c r="R1039" s="19">
        <v>0</v>
      </c>
      <c r="Y1039" s="19">
        <f t="shared" si="191"/>
        <v>1250</v>
      </c>
      <c r="Z1039" s="19">
        <f t="shared" si="190"/>
        <v>0</v>
      </c>
    </row>
    <row r="1040" spans="1:30" x14ac:dyDescent="0.2">
      <c r="A1040" s="18"/>
      <c r="C1040" s="3" t="s">
        <v>96</v>
      </c>
      <c r="D1040" s="19">
        <f>22943067/1000</f>
        <v>22943.066999999999</v>
      </c>
      <c r="E1040" s="19">
        <f>[1]TOBEPAID!E793/1000</f>
        <v>0</v>
      </c>
      <c r="F1040" s="19">
        <f>[1]TOBEPAID!F793/1000</f>
        <v>0</v>
      </c>
      <c r="G1040" s="19">
        <f>[1]TOBEPAID!G793/1000</f>
        <v>0</v>
      </c>
      <c r="H1040" s="19">
        <v>0</v>
      </c>
      <c r="I1040" s="19">
        <f>[1]TOBEPAID!I793/1000</f>
        <v>0</v>
      </c>
      <c r="J1040" s="19">
        <f>[1]TOBEPAID!J793/1000</f>
        <v>0</v>
      </c>
      <c r="K1040" s="19">
        <f>[1]TOBEPAID!K793/1000</f>
        <v>0</v>
      </c>
      <c r="L1040" s="19">
        <f>[1]TOBEPAID!L793/1000</f>
        <v>0</v>
      </c>
      <c r="M1040" s="19">
        <f>[1]TOBEPAID!M793/1000</f>
        <v>0</v>
      </c>
      <c r="N1040" s="19">
        <f>[1]TOBEPAID!N793/1000</f>
        <v>0</v>
      </c>
      <c r="O1040" s="19">
        <f>[1]TOBEPAID!O793/1000</f>
        <v>22943.06711</v>
      </c>
      <c r="P1040" s="19">
        <f>[1]TOBEPAID!P793/1000</f>
        <v>0</v>
      </c>
      <c r="Q1040" s="19">
        <f>[1]TOBEPAID!Q793/1000</f>
        <v>0</v>
      </c>
      <c r="R1040" s="19">
        <f>22980520/1000</f>
        <v>22980.52</v>
      </c>
      <c r="S1040" s="19">
        <f>[1]TOBEPAID!S793/1000</f>
        <v>0</v>
      </c>
      <c r="T1040" s="19">
        <f>[1]TOBEPAID!T793/1000</f>
        <v>0</v>
      </c>
      <c r="U1040" s="19">
        <f>[1]TOBEPAID!U793/1000</f>
        <v>0</v>
      </c>
      <c r="V1040" s="19">
        <f>[1]TOBEPAID!V793/1000</f>
        <v>0</v>
      </c>
      <c r="W1040" s="19">
        <f>[1]TOBEPAID!W793/1000</f>
        <v>0</v>
      </c>
      <c r="X1040" s="19">
        <f>[1]TOBEPAID!X793/1000</f>
        <v>22943.06711</v>
      </c>
      <c r="Y1040" s="19">
        <f t="shared" si="191"/>
        <v>22980.52</v>
      </c>
      <c r="Z1040" s="19">
        <f t="shared" si="190"/>
        <v>-37.453000000001339</v>
      </c>
      <c r="AA1040" s="19">
        <f>[1]TOBEPAID!AA793/1000</f>
        <v>22943.06711</v>
      </c>
      <c r="AB1040" s="19">
        <f>[1]TOBEPAID!AB793/1000</f>
        <v>0</v>
      </c>
      <c r="AC1040" s="19" t="s">
        <v>116</v>
      </c>
      <c r="AD1040" s="19"/>
    </row>
    <row r="1041" spans="1:30" x14ac:dyDescent="0.2">
      <c r="A1041" s="18"/>
      <c r="C1041" s="3" t="s">
        <v>97</v>
      </c>
      <c r="D1041" s="19">
        <f>16667019/1000</f>
        <v>16667.019</v>
      </c>
      <c r="E1041" s="19">
        <f>[1]TOBEPAID!E794/1000</f>
        <v>0</v>
      </c>
      <c r="F1041" s="19">
        <f>[1]TOBEPAID!F794/1000</f>
        <v>0</v>
      </c>
      <c r="G1041" s="19">
        <f>[1]TOBEPAID!G794/1000</f>
        <v>0</v>
      </c>
      <c r="H1041" s="19">
        <v>0</v>
      </c>
      <c r="I1041" s="19">
        <f>[1]TOBEPAID!I794/1000</f>
        <v>0</v>
      </c>
      <c r="J1041" s="19">
        <f>[1]TOBEPAID!J794/1000</f>
        <v>0</v>
      </c>
      <c r="K1041" s="19">
        <f>[1]TOBEPAID!K794/1000</f>
        <v>0</v>
      </c>
      <c r="L1041" s="19">
        <f>[1]TOBEPAID!L794/1000</f>
        <v>0</v>
      </c>
      <c r="M1041" s="19">
        <f>[1]TOBEPAID!M794/1000</f>
        <v>0</v>
      </c>
      <c r="N1041" s="19">
        <f>[1]TOBEPAID!N794/1000</f>
        <v>0</v>
      </c>
      <c r="O1041" s="19">
        <f>[1]TOBEPAID!O794/1000</f>
        <v>16667.019049999999</v>
      </c>
      <c r="P1041" s="19">
        <f>[1]TOBEPAID!P794/1000</f>
        <v>0</v>
      </c>
      <c r="Q1041" s="19">
        <f>[1]TOBEPAID!Q794/1000</f>
        <v>0</v>
      </c>
      <c r="R1041" s="19">
        <f>16667019/1000</f>
        <v>16667.019</v>
      </c>
      <c r="S1041" s="19">
        <f>[1]TOBEPAID!S794/1000</f>
        <v>0</v>
      </c>
      <c r="T1041" s="19">
        <f>[1]TOBEPAID!T794/1000</f>
        <v>0</v>
      </c>
      <c r="U1041" s="19">
        <f>[1]TOBEPAID!U794/1000</f>
        <v>0</v>
      </c>
      <c r="V1041" s="19">
        <f>[1]TOBEPAID!V794/1000</f>
        <v>0</v>
      </c>
      <c r="W1041" s="19">
        <f>[1]TOBEPAID!W794/1000</f>
        <v>0</v>
      </c>
      <c r="X1041" s="19">
        <f>[1]TOBEPAID!X794/1000</f>
        <v>16667.019049999999</v>
      </c>
      <c r="Y1041" s="19">
        <f t="shared" si="191"/>
        <v>16667.019</v>
      </c>
      <c r="Z1041" s="19">
        <f t="shared" si="190"/>
        <v>0</v>
      </c>
      <c r="AA1041" s="19">
        <f>[1]TOBEPAID!AA794/1000</f>
        <v>16667.019049999999</v>
      </c>
      <c r="AB1041" s="19">
        <f>[1]TOBEPAID!AB794/1000</f>
        <v>0</v>
      </c>
      <c r="AC1041" s="19"/>
      <c r="AD1041" s="19"/>
    </row>
    <row r="1042" spans="1:30" x14ac:dyDescent="0.2">
      <c r="A1042" s="18"/>
      <c r="C1042" s="3" t="str">
        <f>+C1021</f>
        <v>EL-CONCESSIONAL</v>
      </c>
      <c r="D1042" s="19">
        <f>254999/1000</f>
        <v>254.999</v>
      </c>
      <c r="E1042" s="19">
        <f>[1]TOBEPAID!E795/1000</f>
        <v>0</v>
      </c>
      <c r="F1042" s="19">
        <f>[1]TOBEPAID!F795/1000</f>
        <v>0</v>
      </c>
      <c r="G1042" s="19">
        <f>[1]TOBEPAID!G795/1000</f>
        <v>0</v>
      </c>
      <c r="H1042" s="19">
        <v>0</v>
      </c>
      <c r="I1042" s="19">
        <f>[1]TOBEPAID!I795/1000</f>
        <v>0</v>
      </c>
      <c r="J1042" s="19">
        <f>[1]TOBEPAID!J795/1000</f>
        <v>0</v>
      </c>
      <c r="K1042" s="19">
        <f>[1]TOBEPAID!K795/1000</f>
        <v>0</v>
      </c>
      <c r="L1042" s="19">
        <f>[1]TOBEPAID!L795/1000</f>
        <v>0</v>
      </c>
      <c r="M1042" s="19">
        <f>[1]TOBEPAID!M795/1000</f>
        <v>0</v>
      </c>
      <c r="N1042" s="19">
        <f>[1]TOBEPAID!N795/1000</f>
        <v>0</v>
      </c>
      <c r="O1042" s="19">
        <f>[1]TOBEPAID!O795/1000</f>
        <v>0</v>
      </c>
      <c r="P1042" s="19">
        <f>[1]TOBEPAID!P795/1000</f>
        <v>0</v>
      </c>
      <c r="Q1042" s="19">
        <f>[1]TOBEPAID!Q795/1000</f>
        <v>0</v>
      </c>
      <c r="R1042" s="19">
        <v>0</v>
      </c>
      <c r="S1042" s="19">
        <f>[1]TOBEPAID!S795/1000</f>
        <v>0</v>
      </c>
      <c r="T1042" s="19">
        <f>[1]TOBEPAID!T795/1000</f>
        <v>0</v>
      </c>
      <c r="U1042" s="19">
        <f>[1]TOBEPAID!U795/1000</f>
        <v>0</v>
      </c>
      <c r="V1042" s="19">
        <f>[1]TOBEPAID!V795/1000</f>
        <v>0</v>
      </c>
      <c r="W1042" s="19">
        <f>[1]TOBEPAID!W795/1000</f>
        <v>0</v>
      </c>
      <c r="X1042" s="19">
        <f>[1]TOBEPAID!X795/1000</f>
        <v>0</v>
      </c>
      <c r="Y1042" s="19">
        <f t="shared" si="191"/>
        <v>0</v>
      </c>
      <c r="Z1042" s="19">
        <f t="shared" si="190"/>
        <v>254.999</v>
      </c>
      <c r="AA1042" s="19">
        <f>[1]TOBEPAID!AA795/1000</f>
        <v>0</v>
      </c>
      <c r="AB1042" s="19">
        <f>[1]TOBEPAID!AB795/1000</f>
        <v>254.99903</v>
      </c>
      <c r="AC1042" s="19"/>
      <c r="AD1042" s="19"/>
    </row>
    <row r="1043" spans="1:30" x14ac:dyDescent="0.2">
      <c r="A1043" s="18"/>
      <c r="D1043" s="21" t="s">
        <v>57</v>
      </c>
      <c r="E1043" s="21" t="s">
        <v>57</v>
      </c>
      <c r="F1043" s="21" t="s">
        <v>57</v>
      </c>
      <c r="G1043" s="21"/>
      <c r="H1043" s="21" t="s">
        <v>57</v>
      </c>
      <c r="I1043" s="21" t="s">
        <v>57</v>
      </c>
      <c r="J1043" s="21" t="s">
        <v>57</v>
      </c>
      <c r="K1043" s="21" t="s">
        <v>57</v>
      </c>
      <c r="L1043" s="21" t="s">
        <v>57</v>
      </c>
      <c r="M1043" s="21"/>
      <c r="N1043" s="21" t="s">
        <v>57</v>
      </c>
      <c r="O1043" s="21" t="s">
        <v>57</v>
      </c>
      <c r="P1043" s="21" t="s">
        <v>57</v>
      </c>
      <c r="Q1043" s="21"/>
      <c r="R1043" s="21" t="s">
        <v>57</v>
      </c>
      <c r="S1043" s="21" t="s">
        <v>57</v>
      </c>
      <c r="T1043" s="21" t="s">
        <v>57</v>
      </c>
      <c r="U1043" s="21" t="s">
        <v>57</v>
      </c>
      <c r="V1043" s="21" t="s">
        <v>57</v>
      </c>
      <c r="W1043" s="21"/>
      <c r="X1043" s="21" t="s">
        <v>57</v>
      </c>
      <c r="Y1043" s="21" t="s">
        <v>57</v>
      </c>
      <c r="Z1043" s="21" t="s">
        <v>57</v>
      </c>
      <c r="AA1043" s="21" t="s">
        <v>57</v>
      </c>
      <c r="AB1043" s="21" t="s">
        <v>57</v>
      </c>
      <c r="AC1043" s="21"/>
      <c r="AD1043" s="21"/>
    </row>
    <row r="1044" spans="1:30" x14ac:dyDescent="0.2">
      <c r="A1044" s="18"/>
      <c r="D1044" s="30">
        <f>SUM(D1036:D1042)</f>
        <v>46136.084999999999</v>
      </c>
      <c r="E1044" s="30">
        <f>SUM(E1036:E1042)</f>
        <v>5021</v>
      </c>
      <c r="F1044" s="30">
        <f>SUM(F1036:F1042)</f>
        <v>0</v>
      </c>
      <c r="G1044" s="30"/>
      <c r="H1044" s="30">
        <f>SUM(H1036:H1042)</f>
        <v>6271</v>
      </c>
      <c r="I1044" s="30">
        <f>SUM(I1036:I1042)</f>
        <v>0</v>
      </c>
      <c r="J1044" s="30">
        <f>SUM(J1036:J1042)</f>
        <v>0</v>
      </c>
      <c r="K1044" s="30">
        <f>SUM(K1036:K1042)</f>
        <v>0</v>
      </c>
      <c r="L1044" s="30">
        <f>SUM(L1036:L1042)</f>
        <v>0</v>
      </c>
      <c r="M1044" s="30"/>
      <c r="N1044" s="30">
        <f>SUM(N1036:N1042)</f>
        <v>5021</v>
      </c>
      <c r="O1044" s="30">
        <f>SUM(O1036:O1042)</f>
        <v>39610.086159999999</v>
      </c>
      <c r="P1044" s="30">
        <f>SUM(P1036:P1042)</f>
        <v>0</v>
      </c>
      <c r="Q1044" s="30"/>
      <c r="R1044" s="30">
        <f>SUM(R1036:R1042)</f>
        <v>39849.952000000005</v>
      </c>
      <c r="S1044" s="30">
        <f>SUM(S1036:S1042)</f>
        <v>0</v>
      </c>
      <c r="T1044" s="30">
        <f>SUM(T1036:T1042)</f>
        <v>0</v>
      </c>
      <c r="U1044" s="30">
        <f>SUM(U1036:U1042)</f>
        <v>0</v>
      </c>
      <c r="V1044" s="30">
        <f>SUM(V1036:V1042)</f>
        <v>0</v>
      </c>
      <c r="W1044" s="30"/>
      <c r="X1044" s="30">
        <f>SUM(X1036:X1042)</f>
        <v>39610.086159999999</v>
      </c>
      <c r="Y1044" s="30">
        <f>SUM(Y1036:Y1042)</f>
        <v>46120.952000000005</v>
      </c>
      <c r="Z1044" s="30">
        <f>SUM(Z1036:Z1042)</f>
        <v>15.132999999998646</v>
      </c>
      <c r="AA1044" s="30">
        <f>SUM(AA1036:AA1042)</f>
        <v>44631.086159999999</v>
      </c>
      <c r="AB1044" s="30">
        <f>SUM(AB1036:AB1042)</f>
        <v>254.99903</v>
      </c>
      <c r="AC1044" s="30"/>
      <c r="AD1044" s="30"/>
    </row>
    <row r="1045" spans="1:30" x14ac:dyDescent="0.2">
      <c r="A1045" s="18"/>
      <c r="D1045" s="21" t="s">
        <v>57</v>
      </c>
      <c r="E1045" s="21" t="s">
        <v>57</v>
      </c>
      <c r="F1045" s="21" t="s">
        <v>57</v>
      </c>
      <c r="G1045" s="21"/>
      <c r="H1045" s="21" t="s">
        <v>57</v>
      </c>
      <c r="I1045" s="21" t="s">
        <v>57</v>
      </c>
      <c r="J1045" s="21" t="s">
        <v>57</v>
      </c>
      <c r="K1045" s="21" t="s">
        <v>57</v>
      </c>
      <c r="L1045" s="21" t="s">
        <v>57</v>
      </c>
      <c r="M1045" s="21"/>
      <c r="N1045" s="21" t="s">
        <v>57</v>
      </c>
      <c r="O1045" s="21" t="s">
        <v>57</v>
      </c>
      <c r="P1045" s="21" t="s">
        <v>57</v>
      </c>
      <c r="Q1045" s="21"/>
      <c r="R1045" s="21" t="s">
        <v>57</v>
      </c>
      <c r="S1045" s="21" t="s">
        <v>57</v>
      </c>
      <c r="T1045" s="21" t="s">
        <v>57</v>
      </c>
      <c r="U1045" s="21" t="s">
        <v>57</v>
      </c>
      <c r="V1045" s="21" t="s">
        <v>57</v>
      </c>
      <c r="W1045" s="21"/>
      <c r="X1045" s="21" t="s">
        <v>57</v>
      </c>
      <c r="Y1045" s="21" t="s">
        <v>57</v>
      </c>
      <c r="Z1045" s="21" t="s">
        <v>57</v>
      </c>
      <c r="AA1045" s="21" t="s">
        <v>57</v>
      </c>
      <c r="AB1045" s="21" t="s">
        <v>57</v>
      </c>
      <c r="AC1045" s="21"/>
      <c r="AD1045" s="21"/>
    </row>
    <row r="1046" spans="1:30" ht="15.75" thickBot="1" x14ac:dyDescent="0.25">
      <c r="R1046" s="56" t="s">
        <v>307</v>
      </c>
      <c r="S1046" s="56"/>
      <c r="T1046" s="56"/>
      <c r="U1046" s="56"/>
      <c r="V1046" s="56"/>
      <c r="W1046" s="56"/>
      <c r="X1046" s="56"/>
      <c r="Y1046" s="56"/>
      <c r="Z1046" s="56"/>
    </row>
    <row r="1047" spans="1:30" ht="15.75" thickTop="1" x14ac:dyDescent="0.2">
      <c r="A1047" s="18">
        <v>81</v>
      </c>
      <c r="B1047" s="3" t="s">
        <v>308</v>
      </c>
      <c r="C1047" s="17" t="s">
        <v>51</v>
      </c>
      <c r="D1047" s="19">
        <f>38431551/1000</f>
        <v>38431.550999999999</v>
      </c>
      <c r="E1047" s="19">
        <f>[1]TOBEPAID!E799/1000</f>
        <v>0</v>
      </c>
      <c r="F1047" s="19">
        <f>[1]TOBEPAID!F799/1000</f>
        <v>0</v>
      </c>
      <c r="G1047" s="19">
        <f>[1]TOBEPAID!G799/1000</f>
        <v>0</v>
      </c>
      <c r="H1047" s="19">
        <f>7800000/1000</f>
        <v>7800</v>
      </c>
      <c r="I1047" s="19">
        <f>[1]TOBEPAID!I799/1000</f>
        <v>0</v>
      </c>
      <c r="J1047" s="19">
        <f>[1]TOBEPAID!J799/1000</f>
        <v>0</v>
      </c>
      <c r="K1047" s="19">
        <f>[1]TOBEPAID!K799/1000</f>
        <v>0</v>
      </c>
      <c r="L1047" s="19">
        <f>[1]TOBEPAID!L799/1000</f>
        <v>0</v>
      </c>
      <c r="M1047" s="19">
        <f>[1]TOBEPAID!M799/1000</f>
        <v>0</v>
      </c>
      <c r="N1047" s="19">
        <f>[1]TOBEPAID!N799/1000</f>
        <v>0</v>
      </c>
      <c r="O1047" s="19">
        <f>[1]TOBEPAID!O799/1000</f>
        <v>0</v>
      </c>
      <c r="P1047" s="19">
        <f>[1]TOBEPAID!P799/1000</f>
        <v>0</v>
      </c>
      <c r="Q1047" s="19">
        <f>[1]TOBEPAID!Q799/1000</f>
        <v>0</v>
      </c>
      <c r="R1047" s="19">
        <v>0</v>
      </c>
      <c r="S1047" s="19">
        <f>[1]TOBEPAID!S799/1000</f>
        <v>0</v>
      </c>
      <c r="T1047" s="19">
        <f>[1]TOBEPAID!T799/1000</f>
        <v>0</v>
      </c>
      <c r="U1047" s="19">
        <f>[1]TOBEPAID!U799/1000</f>
        <v>0</v>
      </c>
      <c r="V1047" s="19">
        <f>[1]TOBEPAID!V799/1000</f>
        <v>0</v>
      </c>
      <c r="W1047" s="19">
        <f>[1]TOBEPAID!W799/1000</f>
        <v>0</v>
      </c>
      <c r="X1047" s="19">
        <f>[1]TOBEPAID!X799/1000</f>
        <v>0</v>
      </c>
      <c r="Y1047" s="19">
        <f>+H1047+R1047</f>
        <v>7800</v>
      </c>
      <c r="Z1047" s="19">
        <f>+D1047-Y1047</f>
        <v>30631.550999999999</v>
      </c>
      <c r="AA1047" s="19">
        <f>[1]TOBEPAID!AA799/1000</f>
        <v>0</v>
      </c>
      <c r="AB1047" s="19">
        <f>[1]TOBEPAID!AB799/1000</f>
        <v>38431.551149999999</v>
      </c>
      <c r="AC1047" s="19"/>
      <c r="AD1047" s="19"/>
    </row>
    <row r="1048" spans="1:30" x14ac:dyDescent="0.2">
      <c r="A1048" s="18"/>
      <c r="C1048" s="3" t="s">
        <v>52</v>
      </c>
      <c r="D1048" s="19">
        <f>2291138/1000</f>
        <v>2291.1379999999999</v>
      </c>
      <c r="E1048" s="19">
        <f>[1]TOBEPAID!E800/1000</f>
        <v>2291.1379999999999</v>
      </c>
      <c r="F1048" s="19">
        <f>[1]TOBEPAID!F800/1000</f>
        <v>0</v>
      </c>
      <c r="G1048" s="19">
        <f>[1]TOBEPAID!G800/1000</f>
        <v>0</v>
      </c>
      <c r="H1048" s="19">
        <f>2291138/1000</f>
        <v>2291.1379999999999</v>
      </c>
      <c r="I1048" s="19">
        <f>[1]TOBEPAID!I800/1000</f>
        <v>0</v>
      </c>
      <c r="J1048" s="19">
        <f>[1]TOBEPAID!J800/1000</f>
        <v>0</v>
      </c>
      <c r="K1048" s="19">
        <f>[1]TOBEPAID!K800/1000</f>
        <v>0</v>
      </c>
      <c r="L1048" s="19">
        <f>[1]TOBEPAID!L800/1000</f>
        <v>0</v>
      </c>
      <c r="M1048" s="19">
        <f>[1]TOBEPAID!M800/1000</f>
        <v>0</v>
      </c>
      <c r="N1048" s="19">
        <f>[1]TOBEPAID!N800/1000</f>
        <v>2291.1379999999999</v>
      </c>
      <c r="O1048" s="19">
        <f>[1]TOBEPAID!O800/1000</f>
        <v>0</v>
      </c>
      <c r="P1048" s="19">
        <f>[1]TOBEPAID!P800/1000</f>
        <v>0</v>
      </c>
      <c r="Q1048" s="19">
        <f>[1]TOBEPAID!Q800/1000</f>
        <v>0</v>
      </c>
      <c r="R1048" s="19">
        <v>0</v>
      </c>
      <c r="S1048" s="19">
        <f>[1]TOBEPAID!S800/1000</f>
        <v>0</v>
      </c>
      <c r="T1048" s="19">
        <f>[1]TOBEPAID!T800/1000</f>
        <v>0</v>
      </c>
      <c r="U1048" s="19">
        <f>[1]TOBEPAID!U800/1000</f>
        <v>0</v>
      </c>
      <c r="V1048" s="19">
        <f>[1]TOBEPAID!V800/1000</f>
        <v>0</v>
      </c>
      <c r="W1048" s="19">
        <f>[1]TOBEPAID!W800/1000</f>
        <v>0</v>
      </c>
      <c r="X1048" s="19">
        <f>[1]TOBEPAID!X800/1000</f>
        <v>0</v>
      </c>
      <c r="Y1048" s="19">
        <f>+H1048+R1048</f>
        <v>2291.1379999999999</v>
      </c>
      <c r="Z1048" s="19">
        <f>+D1048-Y1048</f>
        <v>0</v>
      </c>
      <c r="AA1048" s="19">
        <f>[1]TOBEPAID!AA800/1000</f>
        <v>2291.1379999999999</v>
      </c>
      <c r="AB1048" s="19">
        <f>[1]TOBEPAID!AB800/1000</f>
        <v>0</v>
      </c>
      <c r="AC1048" s="19"/>
      <c r="AD1048" s="19"/>
    </row>
    <row r="1049" spans="1:30" x14ac:dyDescent="0.2">
      <c r="A1049" s="18"/>
      <c r="C1049" s="3" t="s">
        <v>96</v>
      </c>
      <c r="D1049" s="19">
        <f>2361326/1000</f>
        <v>2361.326</v>
      </c>
      <c r="E1049" s="19">
        <f>[1]TOBEPAID!E801/1000</f>
        <v>0</v>
      </c>
      <c r="F1049" s="19">
        <f>[1]TOBEPAID!F801/1000</f>
        <v>0</v>
      </c>
      <c r="G1049" s="19">
        <f>[1]TOBEPAID!G801/1000</f>
        <v>0</v>
      </c>
      <c r="H1049" s="19">
        <v>0</v>
      </c>
      <c r="I1049" s="19">
        <f>[1]TOBEPAID!I801/1000</f>
        <v>0</v>
      </c>
      <c r="J1049" s="19">
        <f>[1]TOBEPAID!J801/1000</f>
        <v>0</v>
      </c>
      <c r="K1049" s="19">
        <f>[1]TOBEPAID!K801/1000</f>
        <v>0</v>
      </c>
      <c r="L1049" s="19">
        <f>[1]TOBEPAID!L801/1000</f>
        <v>0</v>
      </c>
      <c r="M1049" s="19">
        <f>[1]TOBEPAID!M801/1000</f>
        <v>0</v>
      </c>
      <c r="N1049" s="19">
        <f>[1]TOBEPAID!N801/1000</f>
        <v>0</v>
      </c>
      <c r="O1049" s="19">
        <f>[1]TOBEPAID!O801/1000</f>
        <v>2361.3261400000001</v>
      </c>
      <c r="P1049" s="19">
        <f>[1]TOBEPAID!P801/1000</f>
        <v>0</v>
      </c>
      <c r="Q1049" s="19">
        <f>[1]TOBEPAID!Q801/1000</f>
        <v>0</v>
      </c>
      <c r="R1049" s="19">
        <f>2361326/1000</f>
        <v>2361.326</v>
      </c>
      <c r="S1049" s="19">
        <f>[1]TOBEPAID!S801/1000</f>
        <v>0</v>
      </c>
      <c r="T1049" s="19">
        <f>[1]TOBEPAID!T801/1000</f>
        <v>0</v>
      </c>
      <c r="U1049" s="19">
        <f>[1]TOBEPAID!U801/1000</f>
        <v>0</v>
      </c>
      <c r="V1049" s="19">
        <f>[1]TOBEPAID!V801/1000</f>
        <v>0</v>
      </c>
      <c r="W1049" s="19">
        <f>[1]TOBEPAID!W801/1000</f>
        <v>0</v>
      </c>
      <c r="X1049" s="19">
        <f>[1]TOBEPAID!X801/1000</f>
        <v>2361.3261400000001</v>
      </c>
      <c r="Y1049" s="19">
        <f>+H1049+R1049</f>
        <v>2361.326</v>
      </c>
      <c r="Z1049" s="19">
        <f>+D1049-Y1049</f>
        <v>0</v>
      </c>
      <c r="AA1049" s="19">
        <f>[1]TOBEPAID!AA801/1000</f>
        <v>2361.3261400000001</v>
      </c>
      <c r="AB1049" s="19">
        <f>[1]TOBEPAID!AB801/1000</f>
        <v>0</v>
      </c>
      <c r="AC1049" s="19"/>
      <c r="AD1049" s="19"/>
    </row>
    <row r="1050" spans="1:30" x14ac:dyDescent="0.2">
      <c r="A1050" s="18"/>
      <c r="C1050" s="3" t="s">
        <v>97</v>
      </c>
      <c r="D1050" s="19">
        <f>1355997/1000</f>
        <v>1355.9970000000001</v>
      </c>
      <c r="E1050" s="19">
        <f>[1]TOBEPAID!E802/1000</f>
        <v>0</v>
      </c>
      <c r="F1050" s="19">
        <f>[1]TOBEPAID!F802/1000</f>
        <v>0</v>
      </c>
      <c r="G1050" s="19">
        <f>[1]TOBEPAID!G802/1000</f>
        <v>0</v>
      </c>
      <c r="H1050" s="19">
        <v>0</v>
      </c>
      <c r="I1050" s="19">
        <f>[1]TOBEPAID!I802/1000</f>
        <v>0</v>
      </c>
      <c r="J1050" s="19">
        <f>[1]TOBEPAID!J802/1000</f>
        <v>0</v>
      </c>
      <c r="K1050" s="19">
        <f>[1]TOBEPAID!K802/1000</f>
        <v>0</v>
      </c>
      <c r="L1050" s="19">
        <f>[1]TOBEPAID!L802/1000</f>
        <v>0</v>
      </c>
      <c r="M1050" s="19">
        <f>[1]TOBEPAID!M802/1000</f>
        <v>0</v>
      </c>
      <c r="N1050" s="19">
        <f>[1]TOBEPAID!N802/1000</f>
        <v>0</v>
      </c>
      <c r="O1050" s="19">
        <f>[1]TOBEPAID!O802/1000</f>
        <v>0</v>
      </c>
      <c r="P1050" s="19">
        <f>[1]TOBEPAID!P802/1000</f>
        <v>0</v>
      </c>
      <c r="Q1050" s="19">
        <f>[1]TOBEPAID!Q802/1000</f>
        <v>0</v>
      </c>
      <c r="R1050" s="19">
        <v>0</v>
      </c>
      <c r="S1050" s="19">
        <f>[1]TOBEPAID!S802/1000</f>
        <v>0</v>
      </c>
      <c r="T1050" s="19">
        <f>[1]TOBEPAID!T802/1000</f>
        <v>0</v>
      </c>
      <c r="U1050" s="19">
        <f>[1]TOBEPAID!U802/1000</f>
        <v>0</v>
      </c>
      <c r="V1050" s="19">
        <f>[1]TOBEPAID!V802/1000</f>
        <v>0</v>
      </c>
      <c r="W1050" s="19">
        <f>[1]TOBEPAID!W802/1000</f>
        <v>0</v>
      </c>
      <c r="X1050" s="19">
        <f>[1]TOBEPAID!X802/1000</f>
        <v>0</v>
      </c>
      <c r="Y1050" s="19">
        <f>+H1050+R1050</f>
        <v>0</v>
      </c>
      <c r="Z1050" s="19">
        <f>+D1050-Y1050</f>
        <v>1355.9970000000001</v>
      </c>
      <c r="AA1050" s="19">
        <f>[1]TOBEPAID!AA802/1000</f>
        <v>0</v>
      </c>
      <c r="AB1050" s="19">
        <f>[1]TOBEPAID!AB802/1000</f>
        <v>1355.9975900000002</v>
      </c>
      <c r="AC1050" s="19"/>
      <c r="AD1050" s="19"/>
    </row>
    <row r="1051" spans="1:30" x14ac:dyDescent="0.2">
      <c r="A1051" s="18"/>
      <c r="D1051" s="21" t="s">
        <v>57</v>
      </c>
      <c r="E1051" s="21" t="s">
        <v>57</v>
      </c>
      <c r="F1051" s="21" t="s">
        <v>57</v>
      </c>
      <c r="G1051" s="21"/>
      <c r="H1051" s="21" t="s">
        <v>57</v>
      </c>
      <c r="I1051" s="21" t="s">
        <v>57</v>
      </c>
      <c r="J1051" s="21" t="s">
        <v>57</v>
      </c>
      <c r="K1051" s="21" t="s">
        <v>57</v>
      </c>
      <c r="L1051" s="21" t="s">
        <v>57</v>
      </c>
      <c r="M1051" s="21"/>
      <c r="N1051" s="21" t="s">
        <v>57</v>
      </c>
      <c r="O1051" s="21" t="s">
        <v>57</v>
      </c>
      <c r="P1051" s="21" t="s">
        <v>57</v>
      </c>
      <c r="Q1051" s="21"/>
      <c r="R1051" s="21" t="s">
        <v>57</v>
      </c>
      <c r="S1051" s="21" t="s">
        <v>57</v>
      </c>
      <c r="T1051" s="21" t="s">
        <v>57</v>
      </c>
      <c r="U1051" s="21" t="s">
        <v>57</v>
      </c>
      <c r="V1051" s="21" t="s">
        <v>57</v>
      </c>
      <c r="W1051" s="21"/>
      <c r="X1051" s="21" t="s">
        <v>57</v>
      </c>
      <c r="Y1051" s="21" t="s">
        <v>57</v>
      </c>
      <c r="Z1051" s="21" t="s">
        <v>57</v>
      </c>
      <c r="AA1051" s="21" t="s">
        <v>57</v>
      </c>
      <c r="AB1051" s="21" t="s">
        <v>57</v>
      </c>
      <c r="AC1051" s="21"/>
      <c r="AD1051" s="21"/>
    </row>
    <row r="1052" spans="1:30" x14ac:dyDescent="0.2">
      <c r="A1052" s="18"/>
      <c r="D1052" s="30">
        <f>SUM(D1047:D1050)</f>
        <v>44440.012000000002</v>
      </c>
      <c r="E1052" s="30">
        <f>SUM(E1047:E1050)</f>
        <v>2291.1379999999999</v>
      </c>
      <c r="F1052" s="30">
        <f>SUM(F1047:F1050)</f>
        <v>0</v>
      </c>
      <c r="G1052" s="30"/>
      <c r="H1052" s="30">
        <f>SUM(H1047:H1050)</f>
        <v>10091.137999999999</v>
      </c>
      <c r="I1052" s="30">
        <f>SUM(I1047:I1050)</f>
        <v>0</v>
      </c>
      <c r="J1052" s="30">
        <f>SUM(J1047:J1050)</f>
        <v>0</v>
      </c>
      <c r="K1052" s="30">
        <f>SUM(K1047:K1050)</f>
        <v>0</v>
      </c>
      <c r="L1052" s="30">
        <f>SUM(L1047:L1050)</f>
        <v>0</v>
      </c>
      <c r="M1052" s="30"/>
      <c r="N1052" s="30">
        <f>SUM(N1047:N1050)</f>
        <v>2291.1379999999999</v>
      </c>
      <c r="O1052" s="30">
        <f>SUM(O1047:O1050)</f>
        <v>2361.3261400000001</v>
      </c>
      <c r="P1052" s="30">
        <f>SUM(P1047:P1050)</f>
        <v>0</v>
      </c>
      <c r="Q1052" s="30"/>
      <c r="R1052" s="30">
        <f>SUM(R1047:R1050)</f>
        <v>2361.326</v>
      </c>
      <c r="S1052" s="30">
        <f>SUM(S1047:S1050)</f>
        <v>0</v>
      </c>
      <c r="T1052" s="30">
        <f>SUM(T1047:T1050)</f>
        <v>0</v>
      </c>
      <c r="U1052" s="30">
        <f>SUM(U1047:U1050)</f>
        <v>0</v>
      </c>
      <c r="V1052" s="30">
        <f>SUM(V1047:V1050)</f>
        <v>0</v>
      </c>
      <c r="W1052" s="30"/>
      <c r="X1052" s="30">
        <f>SUM(X1047:X1050)</f>
        <v>2361.3261400000001</v>
      </c>
      <c r="Y1052" s="30">
        <f>SUM(Y1047:Y1050)</f>
        <v>12452.464</v>
      </c>
      <c r="Z1052" s="30">
        <f>SUM(Z1047:Z1050)</f>
        <v>31987.547999999999</v>
      </c>
      <c r="AA1052" s="30">
        <f>SUM(AA1047:AA1050)</f>
        <v>4652.46414</v>
      </c>
      <c r="AB1052" s="30">
        <f>SUM(AB1047:AB1050)</f>
        <v>39787.548739999998</v>
      </c>
      <c r="AC1052" s="30"/>
      <c r="AD1052" s="30"/>
    </row>
    <row r="1053" spans="1:30" x14ac:dyDescent="0.2">
      <c r="A1053" s="18"/>
      <c r="D1053" s="21" t="s">
        <v>57</v>
      </c>
      <c r="E1053" s="21" t="s">
        <v>57</v>
      </c>
      <c r="F1053" s="21" t="s">
        <v>57</v>
      </c>
      <c r="G1053" s="21"/>
      <c r="H1053" s="21" t="s">
        <v>57</v>
      </c>
      <c r="I1053" s="21" t="s">
        <v>57</v>
      </c>
      <c r="J1053" s="21" t="s">
        <v>57</v>
      </c>
      <c r="K1053" s="21" t="s">
        <v>57</v>
      </c>
      <c r="L1053" s="21" t="s">
        <v>57</v>
      </c>
      <c r="M1053" s="21"/>
      <c r="N1053" s="21" t="s">
        <v>57</v>
      </c>
      <c r="O1053" s="21" t="s">
        <v>57</v>
      </c>
      <c r="P1053" s="21" t="s">
        <v>57</v>
      </c>
      <c r="Q1053" s="21"/>
      <c r="R1053" s="21" t="s">
        <v>57</v>
      </c>
      <c r="S1053" s="21" t="s">
        <v>57</v>
      </c>
      <c r="T1053" s="21" t="s">
        <v>57</v>
      </c>
      <c r="U1053" s="21" t="s">
        <v>57</v>
      </c>
      <c r="V1053" s="21" t="s">
        <v>57</v>
      </c>
      <c r="W1053" s="21"/>
      <c r="X1053" s="21" t="s">
        <v>57</v>
      </c>
      <c r="Y1053" s="21" t="s">
        <v>57</v>
      </c>
      <c r="Z1053" s="21" t="s">
        <v>57</v>
      </c>
      <c r="AA1053" s="21" t="s">
        <v>57</v>
      </c>
      <c r="AB1053" s="21" t="s">
        <v>57</v>
      </c>
      <c r="AC1053" s="21"/>
      <c r="AD1053" s="21"/>
    </row>
    <row r="1054" spans="1:30" x14ac:dyDescent="0.2">
      <c r="A1054" s="18">
        <v>82</v>
      </c>
      <c r="B1054" s="3" t="s">
        <v>309</v>
      </c>
      <c r="C1054" s="17" t="s">
        <v>51</v>
      </c>
      <c r="D1054" s="19">
        <v>0</v>
      </c>
      <c r="E1054" s="19">
        <f>[1]TOBEPAID!E806/1000</f>
        <v>0</v>
      </c>
      <c r="F1054" s="19">
        <f>[1]TOBEPAID!F806/1000</f>
        <v>0</v>
      </c>
      <c r="G1054" s="19">
        <f>[1]TOBEPAID!G806/1000</f>
        <v>0</v>
      </c>
      <c r="H1054" s="19">
        <v>0</v>
      </c>
      <c r="I1054" s="19">
        <f>[1]TOBEPAID!I806/1000</f>
        <v>0</v>
      </c>
      <c r="J1054" s="19">
        <f>[1]TOBEPAID!J806/1000</f>
        <v>0</v>
      </c>
      <c r="K1054" s="19">
        <f>[1]TOBEPAID!K806/1000</f>
        <v>0</v>
      </c>
      <c r="L1054" s="19">
        <f>[1]TOBEPAID!L806/1000</f>
        <v>0</v>
      </c>
      <c r="M1054" s="19">
        <f>[1]TOBEPAID!M806/1000</f>
        <v>0</v>
      </c>
      <c r="N1054" s="19">
        <f>[1]TOBEPAID!N806/1000</f>
        <v>0</v>
      </c>
      <c r="O1054" s="19">
        <f>[1]TOBEPAID!O806/1000</f>
        <v>0</v>
      </c>
      <c r="P1054" s="19">
        <f>[1]TOBEPAID!P806/1000</f>
        <v>0</v>
      </c>
      <c r="Q1054" s="19">
        <f>[1]TOBEPAID!Q806/1000</f>
        <v>0</v>
      </c>
      <c r="R1054" s="19">
        <v>0</v>
      </c>
      <c r="S1054" s="19">
        <f>[1]TOBEPAID!S806/1000</f>
        <v>0</v>
      </c>
      <c r="T1054" s="19">
        <f>[1]TOBEPAID!T806/1000</f>
        <v>0</v>
      </c>
      <c r="U1054" s="19">
        <f>[1]TOBEPAID!U806/1000</f>
        <v>0</v>
      </c>
      <c r="V1054" s="19">
        <f>[1]TOBEPAID!V806/1000</f>
        <v>0</v>
      </c>
      <c r="W1054" s="19">
        <f>[1]TOBEPAID!W806/1000</f>
        <v>0</v>
      </c>
      <c r="X1054" s="19">
        <f>[1]TOBEPAID!X806/1000</f>
        <v>0</v>
      </c>
      <c r="Y1054" s="19">
        <f t="shared" ref="Y1054:Y1059" si="192">+H1054+R1054</f>
        <v>0</v>
      </c>
      <c r="Z1054" s="19">
        <f t="shared" ref="Z1054:Z1059" si="193">+D1054-Y1054</f>
        <v>0</v>
      </c>
      <c r="AA1054" s="19">
        <f>[1]TOBEPAID!AA806/1000</f>
        <v>0</v>
      </c>
      <c r="AB1054" s="19">
        <f>[1]TOBEPAID!AB806/1000</f>
        <v>0</v>
      </c>
      <c r="AC1054" s="19"/>
      <c r="AD1054" s="19"/>
    </row>
    <row r="1055" spans="1:30" x14ac:dyDescent="0.2">
      <c r="A1055" s="18"/>
      <c r="C1055" s="3" t="s">
        <v>52</v>
      </c>
      <c r="D1055" s="19">
        <f>2743490/1000</f>
        <v>2743.49</v>
      </c>
      <c r="E1055" s="19">
        <f>[1]TOBEPAID!E807/1000</f>
        <v>2743.49</v>
      </c>
      <c r="F1055" s="19">
        <f>[1]TOBEPAID!F807/1000</f>
        <v>0</v>
      </c>
      <c r="G1055" s="19">
        <f>[1]TOBEPAID!G807/1000</f>
        <v>0</v>
      </c>
      <c r="H1055" s="19">
        <f>2743490/1000</f>
        <v>2743.49</v>
      </c>
      <c r="I1055" s="19">
        <f>[1]TOBEPAID!I807/1000</f>
        <v>0</v>
      </c>
      <c r="J1055" s="19">
        <f>[1]TOBEPAID!J807/1000</f>
        <v>0</v>
      </c>
      <c r="K1055" s="19">
        <f>[1]TOBEPAID!K807/1000</f>
        <v>0</v>
      </c>
      <c r="L1055" s="19">
        <f>[1]TOBEPAID!L807/1000</f>
        <v>0</v>
      </c>
      <c r="M1055" s="19">
        <f>[1]TOBEPAID!M807/1000</f>
        <v>0</v>
      </c>
      <c r="N1055" s="19">
        <f>[1]TOBEPAID!N807/1000</f>
        <v>2743.49</v>
      </c>
      <c r="O1055" s="19">
        <f>[1]TOBEPAID!O807/1000</f>
        <v>0</v>
      </c>
      <c r="P1055" s="19">
        <f>[1]TOBEPAID!P807/1000</f>
        <v>0</v>
      </c>
      <c r="Q1055" s="19">
        <f>[1]TOBEPAID!Q807/1000</f>
        <v>0</v>
      </c>
      <c r="R1055" s="19">
        <v>0</v>
      </c>
      <c r="S1055" s="19">
        <f>[1]TOBEPAID!S807/1000</f>
        <v>0</v>
      </c>
      <c r="T1055" s="19">
        <f>[1]TOBEPAID!T807/1000</f>
        <v>0</v>
      </c>
      <c r="U1055" s="19">
        <f>[1]TOBEPAID!U807/1000</f>
        <v>0</v>
      </c>
      <c r="V1055" s="19">
        <f>[1]TOBEPAID!V807/1000</f>
        <v>0</v>
      </c>
      <c r="W1055" s="19">
        <f>[1]TOBEPAID!W807/1000</f>
        <v>0</v>
      </c>
      <c r="X1055" s="19">
        <f>[1]TOBEPAID!X807/1000</f>
        <v>0</v>
      </c>
      <c r="Y1055" s="19">
        <f t="shared" si="192"/>
        <v>2743.49</v>
      </c>
      <c r="Z1055" s="19">
        <f t="shared" si="193"/>
        <v>0</v>
      </c>
      <c r="AA1055" s="19">
        <f>[1]TOBEPAID!AA807/1000</f>
        <v>2743.49</v>
      </c>
      <c r="AB1055" s="19">
        <f>[1]TOBEPAID!AB807/1000</f>
        <v>0</v>
      </c>
      <c r="AC1055" s="19"/>
      <c r="AD1055" s="19"/>
    </row>
    <row r="1056" spans="1:30" x14ac:dyDescent="0.2">
      <c r="A1056" s="18"/>
      <c r="C1056" s="3" t="s">
        <v>76</v>
      </c>
      <c r="D1056" s="19">
        <f>12000000/1000</f>
        <v>12000</v>
      </c>
      <c r="E1056" s="19"/>
      <c r="F1056" s="19"/>
      <c r="G1056" s="19"/>
      <c r="H1056" s="19">
        <f>12000000/1000</f>
        <v>12000</v>
      </c>
      <c r="I1056" s="19"/>
      <c r="J1056" s="19"/>
      <c r="K1056" s="19"/>
      <c r="L1056" s="19"/>
      <c r="M1056" s="19"/>
      <c r="N1056" s="19"/>
      <c r="O1056" s="19"/>
      <c r="P1056" s="19"/>
      <c r="Q1056" s="19"/>
      <c r="R1056" s="19">
        <v>0</v>
      </c>
      <c r="S1056" s="19"/>
      <c r="T1056" s="19"/>
      <c r="U1056" s="19"/>
      <c r="V1056" s="19"/>
      <c r="W1056" s="19"/>
      <c r="X1056" s="19"/>
      <c r="Y1056" s="19">
        <f>+H1056+R1056</f>
        <v>12000</v>
      </c>
      <c r="Z1056" s="19">
        <f t="shared" si="193"/>
        <v>0</v>
      </c>
      <c r="AA1056" s="19"/>
      <c r="AB1056" s="19"/>
      <c r="AC1056" s="19"/>
      <c r="AD1056" s="19"/>
    </row>
    <row r="1057" spans="1:31" x14ac:dyDescent="0.2">
      <c r="A1057" s="18"/>
      <c r="C1057" s="3" t="s">
        <v>96</v>
      </c>
      <c r="D1057" s="19">
        <f>6671517/1000</f>
        <v>6671.5169999999998</v>
      </c>
      <c r="E1057" s="19">
        <f>[1]TOBEPAID!E808/1000</f>
        <v>0</v>
      </c>
      <c r="F1057" s="19">
        <f>[1]TOBEPAID!F808/1000</f>
        <v>0</v>
      </c>
      <c r="G1057" s="19">
        <f>[1]TOBEPAID!G808/1000</f>
        <v>0</v>
      </c>
      <c r="H1057" s="19">
        <v>0</v>
      </c>
      <c r="I1057" s="19">
        <f>[1]TOBEPAID!I808/1000</f>
        <v>0</v>
      </c>
      <c r="J1057" s="19">
        <f>[1]TOBEPAID!J808/1000</f>
        <v>0</v>
      </c>
      <c r="K1057" s="19">
        <f>[1]TOBEPAID!K808/1000</f>
        <v>0</v>
      </c>
      <c r="L1057" s="19">
        <f>[1]TOBEPAID!L808/1000</f>
        <v>0</v>
      </c>
      <c r="M1057" s="19">
        <f>[1]TOBEPAID!M808/1000</f>
        <v>0</v>
      </c>
      <c r="N1057" s="19">
        <f>[1]TOBEPAID!N808/1000</f>
        <v>0</v>
      </c>
      <c r="O1057" s="19">
        <f>[1]TOBEPAID!O808/1000</f>
        <v>6493.5310100000006</v>
      </c>
      <c r="P1057" s="19">
        <f>[1]TOBEPAID!P808/1000</f>
        <v>0</v>
      </c>
      <c r="Q1057" s="19">
        <f>[1]TOBEPAID!Q808/1000</f>
        <v>0</v>
      </c>
      <c r="R1057" s="19">
        <f>6609774.68/1000</f>
        <v>6609.7746799999995</v>
      </c>
      <c r="S1057" s="19">
        <f>[1]TOBEPAID!S808/1000</f>
        <v>0</v>
      </c>
      <c r="T1057" s="19">
        <f>[1]TOBEPAID!T808/1000</f>
        <v>0</v>
      </c>
      <c r="U1057" s="19">
        <f>[1]TOBEPAID!U808/1000</f>
        <v>0</v>
      </c>
      <c r="V1057" s="19">
        <f>[1]TOBEPAID!V808/1000</f>
        <v>0</v>
      </c>
      <c r="W1057" s="19">
        <f>[1]TOBEPAID!W808/1000</f>
        <v>0</v>
      </c>
      <c r="X1057" s="19">
        <f>[1]TOBEPAID!X808/1000</f>
        <v>6493.5310100000006</v>
      </c>
      <c r="Y1057" s="19">
        <f t="shared" si="192"/>
        <v>6609.7746799999995</v>
      </c>
      <c r="Z1057" s="19">
        <f t="shared" si="193"/>
        <v>61.742320000000291</v>
      </c>
      <c r="AA1057" s="19">
        <f>[1]TOBEPAID!AA808/1000</f>
        <v>6493.5310100000006</v>
      </c>
      <c r="AB1057" s="19">
        <f>[1]TOBEPAID!AB808/1000</f>
        <v>0</v>
      </c>
      <c r="AC1057" s="19"/>
      <c r="AD1057" s="19"/>
      <c r="AE1057" s="3" t="s">
        <v>310</v>
      </c>
    </row>
    <row r="1058" spans="1:31" x14ac:dyDescent="0.2">
      <c r="A1058" s="18"/>
      <c r="C1058" s="3" t="s">
        <v>311</v>
      </c>
      <c r="D1058" s="19">
        <v>0</v>
      </c>
      <c r="E1058" s="19">
        <f>[1]TOBEPAID!E809/1000</f>
        <v>0</v>
      </c>
      <c r="F1058" s="19">
        <f>[1]TOBEPAID!F809/1000</f>
        <v>0</v>
      </c>
      <c r="G1058" s="19">
        <f>[1]TOBEPAID!G809/1000</f>
        <v>0</v>
      </c>
      <c r="H1058" s="19">
        <v>0</v>
      </c>
      <c r="I1058" s="19">
        <f>[1]TOBEPAID!I809/1000</f>
        <v>0</v>
      </c>
      <c r="J1058" s="19">
        <f>[1]TOBEPAID!J809/1000</f>
        <v>0</v>
      </c>
      <c r="K1058" s="19">
        <f>[1]TOBEPAID!K809/1000</f>
        <v>0</v>
      </c>
      <c r="L1058" s="19">
        <f>[1]TOBEPAID!L809/1000</f>
        <v>0</v>
      </c>
      <c r="M1058" s="19">
        <f>[1]TOBEPAID!M809/1000</f>
        <v>0</v>
      </c>
      <c r="N1058" s="19">
        <f>[1]TOBEPAID!N809/1000</f>
        <v>0</v>
      </c>
      <c r="O1058" s="19">
        <f>[1]TOBEPAID!O809/1000</f>
        <v>0</v>
      </c>
      <c r="P1058" s="19">
        <f>[1]TOBEPAID!P809/1000</f>
        <v>0</v>
      </c>
      <c r="Q1058" s="19">
        <f>[1]TOBEPAID!Q809/1000</f>
        <v>0</v>
      </c>
      <c r="R1058" s="19">
        <v>0</v>
      </c>
      <c r="S1058" s="19">
        <f>[1]TOBEPAID!S809/1000</f>
        <v>0</v>
      </c>
      <c r="T1058" s="19">
        <f>[1]TOBEPAID!T809/1000</f>
        <v>0</v>
      </c>
      <c r="U1058" s="19">
        <f>[1]TOBEPAID!U809/1000</f>
        <v>0</v>
      </c>
      <c r="V1058" s="19">
        <f>[1]TOBEPAID!V809/1000</f>
        <v>0</v>
      </c>
      <c r="W1058" s="19">
        <f>[1]TOBEPAID!W809/1000</f>
        <v>0</v>
      </c>
      <c r="X1058" s="19">
        <f>[1]TOBEPAID!X809/1000</f>
        <v>0</v>
      </c>
      <c r="Y1058" s="19">
        <f t="shared" si="192"/>
        <v>0</v>
      </c>
      <c r="Z1058" s="19">
        <f t="shared" si="193"/>
        <v>0</v>
      </c>
      <c r="AA1058" s="19">
        <f>[1]TOBEPAID!AA809/1000</f>
        <v>0</v>
      </c>
      <c r="AB1058" s="19">
        <f>[1]TOBEPAID!AB809/1000</f>
        <v>177.98660999999998</v>
      </c>
      <c r="AC1058" s="19"/>
      <c r="AD1058" s="19"/>
    </row>
    <row r="1059" spans="1:31" x14ac:dyDescent="0.2">
      <c r="A1059" s="18"/>
      <c r="C1059" s="3" t="s">
        <v>312</v>
      </c>
      <c r="D1059" s="19">
        <f>15796629/1000</f>
        <v>15796.629000000001</v>
      </c>
      <c r="E1059" s="19">
        <f>[1]TOBEPAID!E810/1000</f>
        <v>0</v>
      </c>
      <c r="F1059" s="19">
        <f>[1]TOBEPAID!F810/1000</f>
        <v>0</v>
      </c>
      <c r="G1059" s="19">
        <f>[1]TOBEPAID!G810/1000</f>
        <v>0</v>
      </c>
      <c r="H1059" s="19">
        <v>0</v>
      </c>
      <c r="I1059" s="19">
        <f>[1]TOBEPAID!I810/1000</f>
        <v>0</v>
      </c>
      <c r="J1059" s="19">
        <f>[1]TOBEPAID!J810/1000</f>
        <v>0</v>
      </c>
      <c r="K1059" s="19">
        <f>[1]TOBEPAID!K810/1000</f>
        <v>0</v>
      </c>
      <c r="L1059" s="19">
        <f>[1]TOBEPAID!L810/1000</f>
        <v>0</v>
      </c>
      <c r="M1059" s="19">
        <f>[1]TOBEPAID!M810/1000</f>
        <v>0</v>
      </c>
      <c r="N1059" s="19">
        <f>[1]TOBEPAID!N810/1000</f>
        <v>0</v>
      </c>
      <c r="O1059" s="19">
        <f>[1]TOBEPAID!O810/1000</f>
        <v>15796.629800000001</v>
      </c>
      <c r="P1059" s="19">
        <f>[1]TOBEPAID!P810/1000</f>
        <v>0</v>
      </c>
      <c r="Q1059" s="19">
        <f>[1]TOBEPAID!Q810/1000</f>
        <v>0</v>
      </c>
      <c r="R1059" s="19">
        <f>15796629/1000</f>
        <v>15796.629000000001</v>
      </c>
      <c r="S1059" s="19">
        <f>[1]TOBEPAID!S810/1000</f>
        <v>0</v>
      </c>
      <c r="T1059" s="19">
        <f>[1]TOBEPAID!T810/1000</f>
        <v>0</v>
      </c>
      <c r="U1059" s="19">
        <f>[1]TOBEPAID!U810/1000</f>
        <v>0</v>
      </c>
      <c r="V1059" s="19">
        <f>[1]TOBEPAID!V810/1000</f>
        <v>0</v>
      </c>
      <c r="W1059" s="19">
        <f>[1]TOBEPAID!W810/1000</f>
        <v>0</v>
      </c>
      <c r="X1059" s="19">
        <f>[1]TOBEPAID!X810/1000</f>
        <v>15796.629800000001</v>
      </c>
      <c r="Y1059" s="19">
        <f t="shared" si="192"/>
        <v>15796.629000000001</v>
      </c>
      <c r="Z1059" s="19">
        <f t="shared" si="193"/>
        <v>0</v>
      </c>
      <c r="AA1059" s="19">
        <f>[1]TOBEPAID!AA810/1000</f>
        <v>15796.629800000001</v>
      </c>
      <c r="AB1059" s="19">
        <f>[1]TOBEPAID!AB810/1000</f>
        <v>0</v>
      </c>
      <c r="AC1059" s="19"/>
      <c r="AD1059" s="19"/>
    </row>
    <row r="1060" spans="1:31" x14ac:dyDescent="0.2">
      <c r="A1060" s="18"/>
      <c r="D1060" s="21" t="s">
        <v>57</v>
      </c>
      <c r="E1060" s="21" t="s">
        <v>57</v>
      </c>
      <c r="F1060" s="21" t="s">
        <v>57</v>
      </c>
      <c r="G1060" s="21"/>
      <c r="H1060" s="21" t="s">
        <v>57</v>
      </c>
      <c r="I1060" s="21" t="s">
        <v>57</v>
      </c>
      <c r="J1060" s="21" t="s">
        <v>57</v>
      </c>
      <c r="K1060" s="21" t="s">
        <v>57</v>
      </c>
      <c r="L1060" s="21" t="s">
        <v>57</v>
      </c>
      <c r="M1060" s="21"/>
      <c r="N1060" s="21" t="s">
        <v>57</v>
      </c>
      <c r="O1060" s="21" t="s">
        <v>57</v>
      </c>
      <c r="P1060" s="21" t="s">
        <v>57</v>
      </c>
      <c r="Q1060" s="21"/>
      <c r="R1060" s="21" t="s">
        <v>57</v>
      </c>
      <c r="S1060" s="21" t="s">
        <v>57</v>
      </c>
      <c r="T1060" s="21" t="s">
        <v>57</v>
      </c>
      <c r="U1060" s="21" t="s">
        <v>57</v>
      </c>
      <c r="V1060" s="21" t="s">
        <v>57</v>
      </c>
      <c r="W1060" s="21"/>
      <c r="X1060" s="21" t="s">
        <v>57</v>
      </c>
      <c r="Y1060" s="21" t="s">
        <v>57</v>
      </c>
      <c r="Z1060" s="21" t="s">
        <v>57</v>
      </c>
      <c r="AA1060" s="21" t="s">
        <v>57</v>
      </c>
      <c r="AB1060" s="21" t="s">
        <v>57</v>
      </c>
      <c r="AC1060" s="21"/>
      <c r="AD1060" s="21"/>
    </row>
    <row r="1061" spans="1:31" x14ac:dyDescent="0.2">
      <c r="A1061" s="18"/>
      <c r="D1061" s="30">
        <f>SUM(D1054:D1059)</f>
        <v>37211.635999999999</v>
      </c>
      <c r="E1061" s="30">
        <f>SUM(E1054:E1059)</f>
        <v>2743.49</v>
      </c>
      <c r="F1061" s="30">
        <f>SUM(F1054:F1059)</f>
        <v>0</v>
      </c>
      <c r="G1061" s="30"/>
      <c r="H1061" s="30">
        <f>SUM(H1054:H1059)</f>
        <v>14743.49</v>
      </c>
      <c r="I1061" s="30">
        <f>SUM(I1054:I1059)</f>
        <v>0</v>
      </c>
      <c r="J1061" s="30">
        <f>SUM(J1054:J1059)</f>
        <v>0</v>
      </c>
      <c r="K1061" s="30">
        <f>SUM(K1054:K1059)</f>
        <v>0</v>
      </c>
      <c r="L1061" s="30">
        <f>SUM(L1054:L1059)</f>
        <v>0</v>
      </c>
      <c r="M1061" s="30"/>
      <c r="N1061" s="30">
        <f>SUM(N1054:N1059)</f>
        <v>2743.49</v>
      </c>
      <c r="O1061" s="30">
        <f>SUM(O1054:O1059)</f>
        <v>22290.160810000001</v>
      </c>
      <c r="P1061" s="30">
        <f>SUM(P1054:P1059)</f>
        <v>0</v>
      </c>
      <c r="Q1061" s="30"/>
      <c r="R1061" s="30">
        <f>SUM(R1054:R1059)</f>
        <v>22406.403679999999</v>
      </c>
      <c r="S1061" s="30">
        <f>SUM(S1054:S1059)</f>
        <v>0</v>
      </c>
      <c r="T1061" s="30">
        <f>SUM(T1054:T1059)</f>
        <v>0</v>
      </c>
      <c r="U1061" s="30">
        <f>SUM(U1054:U1059)</f>
        <v>0</v>
      </c>
      <c r="V1061" s="30">
        <f>SUM(V1054:V1059)</f>
        <v>0</v>
      </c>
      <c r="W1061" s="30"/>
      <c r="X1061" s="30">
        <f>SUM(X1054:X1059)</f>
        <v>22290.160810000001</v>
      </c>
      <c r="Y1061" s="30">
        <f>SUM(Y1054:Y1059)</f>
        <v>37149.893680000001</v>
      </c>
      <c r="Z1061" s="30">
        <f>SUM(Z1054:Z1059)</f>
        <v>61.742320000000291</v>
      </c>
      <c r="AA1061" s="30">
        <f>SUM(AA1054:AA1059)</f>
        <v>25033.650809999999</v>
      </c>
      <c r="AB1061" s="30">
        <f>SUM(AB1054:AB1059)</f>
        <v>177.98660999999998</v>
      </c>
      <c r="AC1061" s="30"/>
      <c r="AD1061" s="30"/>
    </row>
    <row r="1062" spans="1:31" x14ac:dyDescent="0.2">
      <c r="A1062" s="18"/>
      <c r="D1062" s="21" t="s">
        <v>57</v>
      </c>
      <c r="E1062" s="21" t="s">
        <v>57</v>
      </c>
      <c r="F1062" s="21" t="s">
        <v>57</v>
      </c>
      <c r="G1062" s="21"/>
      <c r="H1062" s="21" t="s">
        <v>57</v>
      </c>
      <c r="I1062" s="21" t="s">
        <v>57</v>
      </c>
      <c r="J1062" s="21" t="s">
        <v>57</v>
      </c>
      <c r="K1062" s="21" t="s">
        <v>57</v>
      </c>
      <c r="L1062" s="21" t="s">
        <v>57</v>
      </c>
      <c r="M1062" s="21"/>
      <c r="N1062" s="21" t="s">
        <v>57</v>
      </c>
      <c r="O1062" s="21" t="s">
        <v>57</v>
      </c>
      <c r="P1062" s="21" t="s">
        <v>57</v>
      </c>
      <c r="Q1062" s="21"/>
      <c r="R1062" s="21" t="s">
        <v>57</v>
      </c>
      <c r="S1062" s="21" t="s">
        <v>57</v>
      </c>
      <c r="T1062" s="21" t="s">
        <v>57</v>
      </c>
      <c r="U1062" s="21" t="s">
        <v>57</v>
      </c>
      <c r="V1062" s="21" t="s">
        <v>57</v>
      </c>
      <c r="W1062" s="21"/>
      <c r="X1062" s="21" t="s">
        <v>57</v>
      </c>
      <c r="Y1062" s="21" t="s">
        <v>57</v>
      </c>
      <c r="Z1062" s="21" t="s">
        <v>57</v>
      </c>
      <c r="AA1062" s="21" t="s">
        <v>57</v>
      </c>
      <c r="AB1062" s="21" t="s">
        <v>57</v>
      </c>
      <c r="AC1062" s="21"/>
      <c r="AD1062" s="21"/>
    </row>
    <row r="1063" spans="1:31" x14ac:dyDescent="0.2">
      <c r="A1063" s="18">
        <v>83</v>
      </c>
      <c r="B1063" s="3" t="s">
        <v>313</v>
      </c>
      <c r="C1063" s="17" t="s">
        <v>51</v>
      </c>
      <c r="D1063" s="19">
        <f>272604.84/1000</f>
        <v>272.60484000000002</v>
      </c>
      <c r="E1063" s="19">
        <f>[1]TOBEPAID!E816/1000</f>
        <v>0</v>
      </c>
      <c r="F1063" s="19">
        <f>[1]TOBEPAID!F816/1000</f>
        <v>0</v>
      </c>
      <c r="G1063" s="19">
        <f>[1]TOBEPAID!G816/1000</f>
        <v>0</v>
      </c>
      <c r="H1063" s="19">
        <f>272000/1000</f>
        <v>272</v>
      </c>
      <c r="I1063" s="19">
        <f>[1]TOBEPAID!I816/1000</f>
        <v>0</v>
      </c>
      <c r="J1063" s="19">
        <f>[1]TOBEPAID!J816/1000</f>
        <v>0</v>
      </c>
      <c r="K1063" s="19">
        <f>[1]TOBEPAID!K816/1000</f>
        <v>0</v>
      </c>
      <c r="L1063" s="19">
        <f>[1]TOBEPAID!L816/1000</f>
        <v>0</v>
      </c>
      <c r="M1063" s="19">
        <f>[1]TOBEPAID!M816/1000</f>
        <v>0</v>
      </c>
      <c r="N1063" s="19">
        <f>[1]TOBEPAID!N816/1000</f>
        <v>0</v>
      </c>
      <c r="O1063" s="19">
        <f>[1]TOBEPAID!O816/1000</f>
        <v>0</v>
      </c>
      <c r="P1063" s="19">
        <f>[1]TOBEPAID!P816/1000</f>
        <v>0</v>
      </c>
      <c r="Q1063" s="19">
        <f>[1]TOBEPAID!Q816/1000</f>
        <v>0</v>
      </c>
      <c r="R1063" s="19">
        <v>0</v>
      </c>
      <c r="S1063" s="19">
        <f>[1]TOBEPAID!S816/1000</f>
        <v>0</v>
      </c>
      <c r="T1063" s="19">
        <f>[1]TOBEPAID!T816/1000</f>
        <v>0</v>
      </c>
      <c r="U1063" s="19">
        <f>[1]TOBEPAID!U816/1000</f>
        <v>0</v>
      </c>
      <c r="V1063" s="19">
        <f>[1]TOBEPAID!V816/1000</f>
        <v>0</v>
      </c>
      <c r="W1063" s="19">
        <f>[1]TOBEPAID!W816/1000</f>
        <v>0</v>
      </c>
      <c r="X1063" s="19">
        <f>[1]TOBEPAID!X816/1000</f>
        <v>0</v>
      </c>
      <c r="Y1063" s="19">
        <f>+H1063+R1063</f>
        <v>272</v>
      </c>
      <c r="Z1063" s="19">
        <f>+D1063-Y1063</f>
        <v>0.60484000000002425</v>
      </c>
      <c r="AA1063" s="19">
        <f>[1]TOBEPAID!AA816/1000</f>
        <v>0</v>
      </c>
      <c r="AB1063" s="19">
        <f>[1]TOBEPAID!AB816/1000</f>
        <v>0</v>
      </c>
      <c r="AC1063" s="19"/>
      <c r="AD1063" s="19"/>
    </row>
    <row r="1064" spans="1:31" x14ac:dyDescent="0.2">
      <c r="A1064" s="18"/>
      <c r="C1064" s="17" t="s">
        <v>63</v>
      </c>
      <c r="D1064" s="19">
        <f>12000000/1000</f>
        <v>12000</v>
      </c>
      <c r="E1064" s="19"/>
      <c r="F1064" s="19"/>
      <c r="G1064" s="19"/>
      <c r="H1064" s="19">
        <f>12000000/1000</f>
        <v>12000</v>
      </c>
      <c r="I1064" s="19"/>
      <c r="J1064" s="19"/>
      <c r="K1064" s="19"/>
      <c r="L1064" s="19"/>
      <c r="M1064" s="19"/>
      <c r="N1064" s="19"/>
      <c r="O1064" s="19"/>
      <c r="P1064" s="19"/>
      <c r="Q1064" s="19"/>
      <c r="R1064" s="19">
        <v>0</v>
      </c>
      <c r="S1064" s="19"/>
      <c r="T1064" s="19"/>
      <c r="U1064" s="19"/>
      <c r="V1064" s="19"/>
      <c r="W1064" s="19"/>
      <c r="X1064" s="19"/>
      <c r="Y1064" s="19">
        <f>+H1064+R1064</f>
        <v>12000</v>
      </c>
      <c r="Z1064" s="19">
        <f>+D1064-Y1064</f>
        <v>0</v>
      </c>
      <c r="AA1064" s="19"/>
      <c r="AB1064" s="19"/>
      <c r="AC1064" s="19"/>
      <c r="AD1064" s="19"/>
    </row>
    <row r="1065" spans="1:31" x14ac:dyDescent="0.2">
      <c r="A1065" s="18"/>
      <c r="C1065" s="3" t="s">
        <v>52</v>
      </c>
      <c r="D1065" s="19">
        <f>1760413/1000</f>
        <v>1760.413</v>
      </c>
      <c r="E1065" s="19">
        <f>[1]TOBEPAID!E817/1000</f>
        <v>1760.413</v>
      </c>
      <c r="F1065" s="19">
        <f>[1]TOBEPAID!F817/1000</f>
        <v>0</v>
      </c>
      <c r="G1065" s="19">
        <f>[1]TOBEPAID!G817/1000</f>
        <v>0</v>
      </c>
      <c r="H1065" s="19">
        <f>1760413/1000</f>
        <v>1760.413</v>
      </c>
      <c r="I1065" s="19">
        <f>[1]TOBEPAID!I817/1000</f>
        <v>0</v>
      </c>
      <c r="J1065" s="19">
        <f>[1]TOBEPAID!J817/1000</f>
        <v>0</v>
      </c>
      <c r="K1065" s="19">
        <f>[1]TOBEPAID!K817/1000</f>
        <v>0</v>
      </c>
      <c r="L1065" s="19">
        <f>[1]TOBEPAID!L817/1000</f>
        <v>0</v>
      </c>
      <c r="M1065" s="19">
        <f>[1]TOBEPAID!M817/1000</f>
        <v>0</v>
      </c>
      <c r="N1065" s="19">
        <f>[1]TOBEPAID!N817/1000</f>
        <v>1760.413</v>
      </c>
      <c r="O1065" s="19">
        <f>[1]TOBEPAID!O817/1000</f>
        <v>0</v>
      </c>
      <c r="P1065" s="19">
        <f>[1]TOBEPAID!P817/1000</f>
        <v>0</v>
      </c>
      <c r="Q1065" s="19">
        <f>[1]TOBEPAID!Q817/1000</f>
        <v>0</v>
      </c>
      <c r="R1065" s="19">
        <v>0</v>
      </c>
      <c r="S1065" s="19">
        <f>[1]TOBEPAID!S817/1000</f>
        <v>0</v>
      </c>
      <c r="T1065" s="19">
        <f>[1]TOBEPAID!T817/1000</f>
        <v>0</v>
      </c>
      <c r="U1065" s="19">
        <f>[1]TOBEPAID!U817/1000</f>
        <v>0</v>
      </c>
      <c r="V1065" s="19">
        <f>[1]TOBEPAID!V817/1000</f>
        <v>0</v>
      </c>
      <c r="W1065" s="19">
        <f>[1]TOBEPAID!W817/1000</f>
        <v>0</v>
      </c>
      <c r="X1065" s="19">
        <f>[1]TOBEPAID!X817/1000</f>
        <v>0</v>
      </c>
      <c r="Y1065" s="19">
        <f>+H1065+R1065</f>
        <v>1760.413</v>
      </c>
      <c r="Z1065" s="19">
        <f>+D1065-Y1065</f>
        <v>0</v>
      </c>
      <c r="AA1065" s="19">
        <f>[1]TOBEPAID!AA817/1000</f>
        <v>1760.413</v>
      </c>
      <c r="AB1065" s="19">
        <f>[1]TOBEPAID!AB817/1000</f>
        <v>0</v>
      </c>
      <c r="AC1065" s="19"/>
      <c r="AD1065" s="19"/>
    </row>
    <row r="1066" spans="1:31" x14ac:dyDescent="0.2">
      <c r="A1066" s="18"/>
      <c r="C1066" s="3" t="s">
        <v>276</v>
      </c>
      <c r="D1066" s="19">
        <v>0</v>
      </c>
      <c r="E1066" s="19">
        <f>[1]TOBEPAID!E818/1000</f>
        <v>0</v>
      </c>
      <c r="F1066" s="19">
        <f>[1]TOBEPAID!F818/1000</f>
        <v>0</v>
      </c>
      <c r="G1066" s="19">
        <f>[1]TOBEPAID!G818/1000</f>
        <v>0</v>
      </c>
      <c r="H1066" s="19">
        <v>0</v>
      </c>
      <c r="I1066" s="19">
        <f>[1]TOBEPAID!I818/1000</f>
        <v>0</v>
      </c>
      <c r="J1066" s="19">
        <f>[1]TOBEPAID!J818/1000</f>
        <v>0</v>
      </c>
      <c r="K1066" s="19">
        <f>[1]TOBEPAID!K818/1000</f>
        <v>0</v>
      </c>
      <c r="L1066" s="19">
        <f>[1]TOBEPAID!L818/1000</f>
        <v>0</v>
      </c>
      <c r="M1066" s="19">
        <f>[1]TOBEPAID!M818/1000</f>
        <v>0</v>
      </c>
      <c r="N1066" s="19">
        <f>[1]TOBEPAID!N818/1000</f>
        <v>0</v>
      </c>
      <c r="O1066" s="19">
        <f>[1]TOBEPAID!O818/1000</f>
        <v>0</v>
      </c>
      <c r="P1066" s="19">
        <f>[1]TOBEPAID!P818/1000</f>
        <v>0</v>
      </c>
      <c r="Q1066" s="19">
        <f>[1]TOBEPAID!Q818/1000</f>
        <v>0</v>
      </c>
      <c r="R1066" s="19">
        <v>0</v>
      </c>
      <c r="S1066" s="19">
        <f>[1]TOBEPAID!S818/1000</f>
        <v>0</v>
      </c>
      <c r="T1066" s="19">
        <f>[1]TOBEPAID!T818/1000</f>
        <v>0</v>
      </c>
      <c r="U1066" s="19">
        <f>[1]TOBEPAID!U818/1000</f>
        <v>0</v>
      </c>
      <c r="V1066" s="19">
        <f>[1]TOBEPAID!V818/1000</f>
        <v>0</v>
      </c>
      <c r="W1066" s="19">
        <f>[1]TOBEPAID!W818/1000</f>
        <v>0</v>
      </c>
      <c r="X1066" s="19">
        <f>[1]TOBEPAID!X818/1000</f>
        <v>0</v>
      </c>
      <c r="Y1066" s="19">
        <f>+H1066+R1066</f>
        <v>0</v>
      </c>
      <c r="Z1066" s="19">
        <f>+D1066-Y1066</f>
        <v>0</v>
      </c>
      <c r="AA1066" s="19">
        <f>[1]TOBEPAID!AA818/1000</f>
        <v>0</v>
      </c>
      <c r="AB1066" s="19">
        <f>[1]TOBEPAID!AB818/1000</f>
        <v>240.15484000000001</v>
      </c>
      <c r="AC1066" s="19"/>
      <c r="AD1066" s="19"/>
    </row>
    <row r="1067" spans="1:31" x14ac:dyDescent="0.2">
      <c r="A1067" s="18"/>
      <c r="C1067" s="3" t="s">
        <v>55</v>
      </c>
      <c r="D1067" s="19">
        <f>44400/1000</f>
        <v>44.4</v>
      </c>
      <c r="E1067" s="19">
        <f>[1]TOBEPAID!E819/1000</f>
        <v>0</v>
      </c>
      <c r="F1067" s="19">
        <f>[1]TOBEPAID!F819/1000</f>
        <v>0</v>
      </c>
      <c r="G1067" s="19">
        <f>[1]TOBEPAID!G819/1000</f>
        <v>0</v>
      </c>
      <c r="H1067" s="19">
        <v>0</v>
      </c>
      <c r="I1067" s="19">
        <f>[1]TOBEPAID!I819/1000</f>
        <v>0</v>
      </c>
      <c r="J1067" s="19">
        <f>[1]TOBEPAID!J819/1000</f>
        <v>0</v>
      </c>
      <c r="K1067" s="19">
        <f>[1]TOBEPAID!K819/1000</f>
        <v>0</v>
      </c>
      <c r="L1067" s="19">
        <f>[1]TOBEPAID!L819/1000</f>
        <v>0</v>
      </c>
      <c r="M1067" s="19">
        <f>[1]TOBEPAID!M819/1000</f>
        <v>0</v>
      </c>
      <c r="N1067" s="19">
        <f>[1]TOBEPAID!N819/1000</f>
        <v>0</v>
      </c>
      <c r="O1067" s="19">
        <f>[1]TOBEPAID!O819/1000</f>
        <v>0</v>
      </c>
      <c r="P1067" s="19">
        <f>[1]TOBEPAID!P819/1000</f>
        <v>0</v>
      </c>
      <c r="Q1067" s="19">
        <f>[1]TOBEPAID!Q819/1000</f>
        <v>0</v>
      </c>
      <c r="R1067" s="19">
        <f>44400/1000</f>
        <v>44.4</v>
      </c>
      <c r="S1067" s="19">
        <f>[1]TOBEPAID!S819/1000</f>
        <v>0</v>
      </c>
      <c r="T1067" s="19">
        <f>[1]TOBEPAID!T819/1000</f>
        <v>0</v>
      </c>
      <c r="U1067" s="19">
        <f>[1]TOBEPAID!U819/1000</f>
        <v>0</v>
      </c>
      <c r="V1067" s="19">
        <f>[1]TOBEPAID!V819/1000</f>
        <v>0</v>
      </c>
      <c r="W1067" s="19">
        <f>[1]TOBEPAID!W819/1000</f>
        <v>0</v>
      </c>
      <c r="X1067" s="19">
        <f>[1]TOBEPAID!X819/1000</f>
        <v>0</v>
      </c>
      <c r="Y1067" s="19">
        <f>+H1067+R1067</f>
        <v>44.4</v>
      </c>
      <c r="Z1067" s="19">
        <f>+D1067-Y1067</f>
        <v>0</v>
      </c>
      <c r="AA1067" s="19">
        <f>[1]TOBEPAID!AA819/1000</f>
        <v>0</v>
      </c>
      <c r="AB1067" s="19">
        <f>[1]TOBEPAID!AB819/1000</f>
        <v>76.849999999999994</v>
      </c>
      <c r="AC1067" s="19"/>
      <c r="AD1067" s="19"/>
    </row>
    <row r="1068" spans="1:31" x14ac:dyDescent="0.2">
      <c r="A1068" s="18"/>
      <c r="D1068" s="21" t="s">
        <v>57</v>
      </c>
      <c r="E1068" s="21" t="s">
        <v>57</v>
      </c>
      <c r="F1068" s="21" t="s">
        <v>57</v>
      </c>
      <c r="G1068" s="21"/>
      <c r="H1068" s="21" t="s">
        <v>57</v>
      </c>
      <c r="I1068" s="21" t="s">
        <v>57</v>
      </c>
      <c r="J1068" s="21" t="s">
        <v>57</v>
      </c>
      <c r="K1068" s="21" t="s">
        <v>57</v>
      </c>
      <c r="L1068" s="21" t="s">
        <v>57</v>
      </c>
      <c r="M1068" s="21"/>
      <c r="N1068" s="21" t="s">
        <v>57</v>
      </c>
      <c r="O1068" s="21" t="s">
        <v>57</v>
      </c>
      <c r="P1068" s="21" t="s">
        <v>57</v>
      </c>
      <c r="Q1068" s="21"/>
      <c r="R1068" s="21" t="s">
        <v>57</v>
      </c>
      <c r="S1068" s="21" t="s">
        <v>57</v>
      </c>
      <c r="T1068" s="21" t="s">
        <v>57</v>
      </c>
      <c r="U1068" s="21" t="s">
        <v>57</v>
      </c>
      <c r="V1068" s="21" t="s">
        <v>57</v>
      </c>
      <c r="W1068" s="21"/>
      <c r="X1068" s="21" t="s">
        <v>57</v>
      </c>
      <c r="Y1068" s="21" t="s">
        <v>57</v>
      </c>
      <c r="Z1068" s="21" t="s">
        <v>57</v>
      </c>
      <c r="AA1068" s="21" t="s">
        <v>57</v>
      </c>
      <c r="AB1068" s="21" t="s">
        <v>57</v>
      </c>
      <c r="AC1068" s="21"/>
      <c r="AD1068" s="21"/>
    </row>
    <row r="1069" spans="1:31" x14ac:dyDescent="0.2">
      <c r="A1069" s="18"/>
      <c r="D1069" s="30">
        <f>SUM(D1063:D1067)</f>
        <v>14077.41784</v>
      </c>
      <c r="E1069" s="30">
        <f>SUM(E1063:E1067)</f>
        <v>1760.413</v>
      </c>
      <c r="F1069" s="30">
        <f>SUM(F1063:F1067)</f>
        <v>0</v>
      </c>
      <c r="G1069" s="30"/>
      <c r="H1069" s="30">
        <f>SUM(H1063:H1067)</f>
        <v>14032.413</v>
      </c>
      <c r="I1069" s="30">
        <f>SUM(I1063:I1067)</f>
        <v>0</v>
      </c>
      <c r="J1069" s="30">
        <f>SUM(J1063:J1067)</f>
        <v>0</v>
      </c>
      <c r="K1069" s="30">
        <f>SUM(K1063:K1067)</f>
        <v>0</v>
      </c>
      <c r="L1069" s="30">
        <f>SUM(L1063:L1067)</f>
        <v>0</v>
      </c>
      <c r="M1069" s="30"/>
      <c r="N1069" s="30">
        <f>SUM(N1063:N1067)</f>
        <v>1760.413</v>
      </c>
      <c r="O1069" s="30">
        <f>SUM(O1063:O1067)</f>
        <v>0</v>
      </c>
      <c r="P1069" s="30">
        <f>SUM(P1063:P1067)</f>
        <v>0</v>
      </c>
      <c r="Q1069" s="30"/>
      <c r="R1069" s="30">
        <f>SUM(R1063:R1067)</f>
        <v>44.4</v>
      </c>
      <c r="S1069" s="30">
        <f>SUM(S1063:S1067)</f>
        <v>0</v>
      </c>
      <c r="T1069" s="30">
        <f>SUM(T1063:T1067)</f>
        <v>0</v>
      </c>
      <c r="U1069" s="30">
        <f>SUM(U1063:U1067)</f>
        <v>0</v>
      </c>
      <c r="V1069" s="30">
        <f>SUM(V1063:V1067)</f>
        <v>0</v>
      </c>
      <c r="W1069" s="30"/>
      <c r="X1069" s="30">
        <f>SUM(X1063:X1067)</f>
        <v>0</v>
      </c>
      <c r="Y1069" s="30">
        <f>SUM(Y1063:Y1067)</f>
        <v>14076.813</v>
      </c>
      <c r="Z1069" s="30">
        <f>SUM(Z1063:Z1067)</f>
        <v>0.60484000000002425</v>
      </c>
      <c r="AA1069" s="30">
        <f>SUM(AA1063:AA1067)</f>
        <v>1760.413</v>
      </c>
      <c r="AB1069" s="30">
        <f>SUM(AB1063:AB1067)</f>
        <v>317.00484</v>
      </c>
      <c r="AC1069" s="30"/>
      <c r="AD1069" s="30"/>
    </row>
    <row r="1070" spans="1:31" x14ac:dyDescent="0.2">
      <c r="A1070" s="18"/>
      <c r="D1070" s="21" t="s">
        <v>57</v>
      </c>
      <c r="E1070" s="21" t="s">
        <v>57</v>
      </c>
      <c r="F1070" s="21" t="s">
        <v>57</v>
      </c>
      <c r="G1070" s="21"/>
      <c r="H1070" s="21" t="s">
        <v>57</v>
      </c>
      <c r="I1070" s="21" t="s">
        <v>57</v>
      </c>
      <c r="J1070" s="21" t="s">
        <v>57</v>
      </c>
      <c r="K1070" s="21" t="s">
        <v>57</v>
      </c>
      <c r="L1070" s="21" t="s">
        <v>57</v>
      </c>
      <c r="M1070" s="21"/>
      <c r="N1070" s="21" t="s">
        <v>57</v>
      </c>
      <c r="O1070" s="21" t="s">
        <v>57</v>
      </c>
      <c r="P1070" s="21" t="s">
        <v>57</v>
      </c>
      <c r="Q1070" s="21"/>
      <c r="R1070" s="21" t="s">
        <v>57</v>
      </c>
      <c r="S1070" s="21" t="s">
        <v>57</v>
      </c>
      <c r="T1070" s="21" t="s">
        <v>57</v>
      </c>
      <c r="U1070" s="21" t="s">
        <v>57</v>
      </c>
      <c r="V1070" s="21" t="s">
        <v>57</v>
      </c>
      <c r="W1070" s="21"/>
      <c r="X1070" s="21" t="s">
        <v>57</v>
      </c>
      <c r="Y1070" s="21" t="s">
        <v>57</v>
      </c>
      <c r="Z1070" s="21" t="s">
        <v>57</v>
      </c>
      <c r="AA1070" s="21" t="s">
        <v>57</v>
      </c>
      <c r="AB1070" s="21" t="s">
        <v>57</v>
      </c>
      <c r="AC1070" s="21"/>
      <c r="AD1070" s="21"/>
    </row>
    <row r="1071" spans="1:31" x14ac:dyDescent="0.2">
      <c r="A1071" s="18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  <c r="AA1071" s="21"/>
      <c r="AB1071" s="21"/>
      <c r="AC1071" s="21"/>
      <c r="AD1071" s="21"/>
    </row>
    <row r="1072" spans="1:31" x14ac:dyDescent="0.2">
      <c r="A1072" s="18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21"/>
    </row>
    <row r="1073" spans="1:45" x14ac:dyDescent="0.2">
      <c r="A1073" s="18">
        <v>84</v>
      </c>
      <c r="B1073" s="3" t="s">
        <v>314</v>
      </c>
      <c r="C1073" s="17" t="s">
        <v>51</v>
      </c>
      <c r="D1073" s="19">
        <v>0</v>
      </c>
      <c r="E1073" s="19">
        <f>[1]TOBEPAID!E823/1000</f>
        <v>0</v>
      </c>
      <c r="F1073" s="19">
        <f>[1]TOBEPAID!F823/1000</f>
        <v>0</v>
      </c>
      <c r="G1073" s="19">
        <f>[1]TOBEPAID!G823/1000</f>
        <v>0</v>
      </c>
      <c r="H1073" s="19">
        <v>0</v>
      </c>
      <c r="I1073" s="19">
        <f>[1]TOBEPAID!I823/1000</f>
        <v>0</v>
      </c>
      <c r="J1073" s="19">
        <f>[1]TOBEPAID!J823/1000</f>
        <v>0</v>
      </c>
      <c r="K1073" s="19">
        <f>[1]TOBEPAID!K823/1000</f>
        <v>0</v>
      </c>
      <c r="L1073" s="19">
        <f>[1]TOBEPAID!L823/1000</f>
        <v>0</v>
      </c>
      <c r="M1073" s="19">
        <f>[1]TOBEPAID!M823/1000</f>
        <v>0</v>
      </c>
      <c r="N1073" s="19">
        <f>[1]TOBEPAID!N823/1000</f>
        <v>0</v>
      </c>
      <c r="O1073" s="19">
        <f>[1]TOBEPAID!O823/1000</f>
        <v>0</v>
      </c>
      <c r="P1073" s="19">
        <f>[1]TOBEPAID!P823/1000</f>
        <v>0</v>
      </c>
      <c r="Q1073" s="19">
        <f>[1]TOBEPAID!Q823/1000</f>
        <v>0</v>
      </c>
      <c r="R1073" s="19">
        <v>0</v>
      </c>
      <c r="S1073" s="19">
        <f>[1]TOBEPAID!S823/1000</f>
        <v>0</v>
      </c>
      <c r="T1073" s="19">
        <f>[1]TOBEPAID!T823/1000</f>
        <v>0</v>
      </c>
      <c r="U1073" s="19">
        <f>[1]TOBEPAID!U823/1000</f>
        <v>0</v>
      </c>
      <c r="V1073" s="19">
        <f>[1]TOBEPAID!V823/1000</f>
        <v>0</v>
      </c>
      <c r="W1073" s="19">
        <f>[1]TOBEPAID!W823/1000</f>
        <v>0</v>
      </c>
      <c r="X1073" s="19">
        <f>[1]TOBEPAID!X823/1000</f>
        <v>0</v>
      </c>
      <c r="Y1073" s="19">
        <f t="shared" ref="Y1073:Y1079" si="194">+H1073+R1073</f>
        <v>0</v>
      </c>
      <c r="Z1073" s="19">
        <f t="shared" ref="Z1073:Z1079" si="195">+D1073-Y1073</f>
        <v>0</v>
      </c>
      <c r="AA1073" s="19">
        <f>[1]TOBEPAID!AA823/1000</f>
        <v>0</v>
      </c>
      <c r="AB1073" s="19">
        <f>[1]TOBEPAID!AB823/1000</f>
        <v>0</v>
      </c>
      <c r="AC1073" s="19"/>
      <c r="AD1073" s="19"/>
    </row>
    <row r="1074" spans="1:45" x14ac:dyDescent="0.2">
      <c r="A1074" s="18"/>
      <c r="C1074" s="3" t="s">
        <v>52</v>
      </c>
      <c r="D1074" s="19">
        <f>4070993/1000</f>
        <v>4070.9929999999999</v>
      </c>
      <c r="E1074" s="19">
        <f>[1]TOBEPAID!E824/1000</f>
        <v>4070.9929999999999</v>
      </c>
      <c r="F1074" s="19">
        <f>[1]TOBEPAID!F824/1000</f>
        <v>0</v>
      </c>
      <c r="G1074" s="19">
        <f>[1]TOBEPAID!G824/1000</f>
        <v>0</v>
      </c>
      <c r="H1074" s="19">
        <f>4070993/1000</f>
        <v>4070.9929999999999</v>
      </c>
      <c r="I1074" s="19">
        <f>[1]TOBEPAID!I824/1000</f>
        <v>0</v>
      </c>
      <c r="J1074" s="19">
        <f>[1]TOBEPAID!J824/1000</f>
        <v>0</v>
      </c>
      <c r="K1074" s="19">
        <f>[1]TOBEPAID!K824/1000</f>
        <v>0</v>
      </c>
      <c r="L1074" s="19">
        <f>[1]TOBEPAID!L824/1000</f>
        <v>0</v>
      </c>
      <c r="M1074" s="19">
        <f>[1]TOBEPAID!M824/1000</f>
        <v>0</v>
      </c>
      <c r="N1074" s="19">
        <f>[1]TOBEPAID!N824/1000</f>
        <v>4070.9929999999999</v>
      </c>
      <c r="O1074" s="19">
        <f>[1]TOBEPAID!O824/1000</f>
        <v>0</v>
      </c>
      <c r="P1074" s="19">
        <f>[1]TOBEPAID!P824/1000</f>
        <v>0</v>
      </c>
      <c r="Q1074" s="19">
        <f>[1]TOBEPAID!Q824/1000</f>
        <v>0</v>
      </c>
      <c r="R1074" s="19">
        <v>0</v>
      </c>
      <c r="S1074" s="19">
        <f>[1]TOBEPAID!S824/1000</f>
        <v>0</v>
      </c>
      <c r="T1074" s="19">
        <f>[1]TOBEPAID!T824/1000</f>
        <v>0</v>
      </c>
      <c r="U1074" s="19">
        <f>[1]TOBEPAID!U824/1000</f>
        <v>0</v>
      </c>
      <c r="V1074" s="19">
        <f>[1]TOBEPAID!V824/1000</f>
        <v>0</v>
      </c>
      <c r="W1074" s="19">
        <f>[1]TOBEPAID!W824/1000</f>
        <v>0</v>
      </c>
      <c r="X1074" s="19">
        <f>[1]TOBEPAID!X824/1000</f>
        <v>0</v>
      </c>
      <c r="Y1074" s="19">
        <f t="shared" si="194"/>
        <v>4070.9929999999999</v>
      </c>
      <c r="Z1074" s="19">
        <f t="shared" si="195"/>
        <v>0</v>
      </c>
      <c r="AA1074" s="19">
        <f>[1]TOBEPAID!AA824/1000</f>
        <v>4070.9929999999999</v>
      </c>
      <c r="AB1074" s="19">
        <f>[1]TOBEPAID!AB824/1000</f>
        <v>0</v>
      </c>
      <c r="AC1074" s="19"/>
      <c r="AD1074" s="19"/>
    </row>
    <row r="1075" spans="1:45" x14ac:dyDescent="0.2">
      <c r="C1075" s="3" t="s">
        <v>67</v>
      </c>
      <c r="D1075" s="19">
        <f>240400000/1000</f>
        <v>240400</v>
      </c>
      <c r="E1075" s="19">
        <f>[1]TOBEPAID!E825/1000</f>
        <v>49000</v>
      </c>
      <c r="F1075" s="19">
        <f>[1]TOBEPAID!F825/1000</f>
        <v>7000</v>
      </c>
      <c r="G1075" s="19">
        <f>[1]TOBEPAID!G825/1000</f>
        <v>0</v>
      </c>
      <c r="H1075" s="19">
        <f>240400000/1000</f>
        <v>240400</v>
      </c>
      <c r="I1075" s="19">
        <f>[1]TOBEPAID!I825/1000</f>
        <v>0</v>
      </c>
      <c r="J1075" s="19">
        <f>[1]TOBEPAID!J825/1000</f>
        <v>0</v>
      </c>
      <c r="K1075" s="19">
        <f>[1]TOBEPAID!K825/1000</f>
        <v>0</v>
      </c>
      <c r="L1075" s="19">
        <f>[1]TOBEPAID!L825/1000</f>
        <v>0</v>
      </c>
      <c r="M1075" s="19">
        <f>[1]TOBEPAID!M825/1000</f>
        <v>0</v>
      </c>
      <c r="N1075" s="19">
        <f>[1]TOBEPAID!N825/1000</f>
        <v>56000</v>
      </c>
      <c r="O1075" s="19">
        <f>[1]TOBEPAID!O825/1000</f>
        <v>0</v>
      </c>
      <c r="P1075" s="19">
        <f>[1]TOBEPAID!P825/1000</f>
        <v>0</v>
      </c>
      <c r="Q1075" s="19">
        <f>[1]TOBEPAID!Q825/1000</f>
        <v>0</v>
      </c>
      <c r="R1075" s="19">
        <v>0</v>
      </c>
      <c r="S1075" s="19">
        <f>[1]TOBEPAID!S825/1000</f>
        <v>0</v>
      </c>
      <c r="T1075" s="19">
        <f>[1]TOBEPAID!T825/1000</f>
        <v>0</v>
      </c>
      <c r="U1075" s="19">
        <f>[1]TOBEPAID!U825/1000</f>
        <v>0</v>
      </c>
      <c r="V1075" s="19">
        <f>[1]TOBEPAID!V825/1000</f>
        <v>0</v>
      </c>
      <c r="W1075" s="19">
        <f>[1]TOBEPAID!W825/1000</f>
        <v>0</v>
      </c>
      <c r="X1075" s="19">
        <f>[1]TOBEPAID!X825/1000</f>
        <v>0</v>
      </c>
      <c r="Y1075" s="19">
        <f t="shared" si="194"/>
        <v>240400</v>
      </c>
      <c r="Z1075" s="19">
        <f t="shared" si="195"/>
        <v>0</v>
      </c>
      <c r="AA1075" s="19">
        <f>[1]TOBEPAID!AA825/1000</f>
        <v>56000</v>
      </c>
      <c r="AB1075" s="19">
        <f>[1]TOBEPAID!AB825/1000</f>
        <v>0</v>
      </c>
      <c r="AC1075" s="19"/>
      <c r="AD1075" s="19"/>
    </row>
    <row r="1076" spans="1:45" x14ac:dyDescent="0.2">
      <c r="C1076" s="3" t="s">
        <v>63</v>
      </c>
      <c r="D1076" s="19">
        <f>9000000/1000</f>
        <v>9000</v>
      </c>
      <c r="E1076" s="19"/>
      <c r="F1076" s="19"/>
      <c r="G1076" s="19"/>
      <c r="H1076" s="19">
        <f>9000000/1000</f>
        <v>9000</v>
      </c>
      <c r="I1076" s="19"/>
      <c r="J1076" s="19"/>
      <c r="K1076" s="19"/>
      <c r="L1076" s="19"/>
      <c r="M1076" s="19"/>
      <c r="N1076" s="19"/>
      <c r="O1076" s="19"/>
      <c r="P1076" s="19"/>
      <c r="Q1076" s="19"/>
      <c r="R1076" s="19">
        <v>0</v>
      </c>
      <c r="S1076" s="19"/>
      <c r="T1076" s="19"/>
      <c r="U1076" s="19"/>
      <c r="V1076" s="19"/>
      <c r="W1076" s="19"/>
      <c r="X1076" s="19"/>
      <c r="Y1076" s="19">
        <f t="shared" si="194"/>
        <v>9000</v>
      </c>
      <c r="Z1076" s="19">
        <f t="shared" si="195"/>
        <v>0</v>
      </c>
      <c r="AA1076" s="19"/>
      <c r="AB1076" s="19"/>
      <c r="AC1076" s="19"/>
      <c r="AD1076" s="19"/>
    </row>
    <row r="1077" spans="1:45" x14ac:dyDescent="0.2">
      <c r="C1077" s="3" t="s">
        <v>77</v>
      </c>
      <c r="D1077" s="19">
        <f>5350497/1000</f>
        <v>5350.4970000000003</v>
      </c>
      <c r="E1077" s="19"/>
      <c r="F1077" s="19"/>
      <c r="G1077" s="19"/>
      <c r="H1077" s="19">
        <f>5350497/1000</f>
        <v>5350.4970000000003</v>
      </c>
      <c r="I1077" s="19"/>
      <c r="J1077" s="19"/>
      <c r="K1077" s="19"/>
      <c r="L1077" s="19"/>
      <c r="M1077" s="19"/>
      <c r="N1077" s="19"/>
      <c r="O1077" s="19"/>
      <c r="P1077" s="19"/>
      <c r="Q1077" s="19"/>
      <c r="R1077" s="19">
        <v>0</v>
      </c>
      <c r="S1077" s="19"/>
      <c r="T1077" s="19"/>
      <c r="U1077" s="19"/>
      <c r="V1077" s="19"/>
      <c r="W1077" s="19"/>
      <c r="X1077" s="19"/>
      <c r="Y1077" s="19">
        <f t="shared" si="194"/>
        <v>5350.4970000000003</v>
      </c>
      <c r="Z1077" s="19">
        <f t="shared" si="195"/>
        <v>0</v>
      </c>
      <c r="AA1077" s="19"/>
      <c r="AB1077" s="19"/>
      <c r="AC1077" s="19"/>
      <c r="AD1077" s="19"/>
    </row>
    <row r="1078" spans="1:45" x14ac:dyDescent="0.2">
      <c r="C1078" s="3" t="s">
        <v>293</v>
      </c>
      <c r="D1078" s="19">
        <f>15370771/1000</f>
        <v>15370.771000000001</v>
      </c>
      <c r="E1078" s="19"/>
      <c r="F1078" s="19"/>
      <c r="G1078" s="19"/>
      <c r="H1078" s="19">
        <f>15370771/1000</f>
        <v>15370.771000000001</v>
      </c>
      <c r="I1078" s="19"/>
      <c r="J1078" s="19"/>
      <c r="K1078" s="19"/>
      <c r="L1078" s="19"/>
      <c r="M1078" s="19"/>
      <c r="N1078" s="19"/>
      <c r="O1078" s="19"/>
      <c r="P1078" s="19"/>
      <c r="Q1078" s="19"/>
      <c r="R1078" s="19">
        <v>0</v>
      </c>
      <c r="S1078" s="19"/>
      <c r="T1078" s="19"/>
      <c r="U1078" s="19"/>
      <c r="V1078" s="19"/>
      <c r="W1078" s="19"/>
      <c r="X1078" s="19"/>
      <c r="Y1078" s="19">
        <f t="shared" si="194"/>
        <v>15370.771000000001</v>
      </c>
      <c r="Z1078" s="19">
        <f t="shared" si="195"/>
        <v>0</v>
      </c>
      <c r="AA1078" s="19"/>
      <c r="AB1078" s="19"/>
      <c r="AC1078" s="19"/>
      <c r="AD1078" s="19"/>
    </row>
    <row r="1079" spans="1:45" x14ac:dyDescent="0.2">
      <c r="A1079" s="18"/>
      <c r="C1079" s="3" t="s">
        <v>315</v>
      </c>
      <c r="D1079" s="19">
        <f>1300000/1000</f>
        <v>1300</v>
      </c>
      <c r="E1079" s="19">
        <f>[1]TOBEPAID!E826/1000</f>
        <v>1300</v>
      </c>
      <c r="F1079" s="19">
        <f>[1]TOBEPAID!F826/1000</f>
        <v>0</v>
      </c>
      <c r="G1079" s="19">
        <f>[1]TOBEPAID!G826/1000</f>
        <v>0</v>
      </c>
      <c r="H1079" s="19">
        <f>1300000/1000</f>
        <v>1300</v>
      </c>
      <c r="I1079" s="19">
        <f>[1]TOBEPAID!I826/1000</f>
        <v>0</v>
      </c>
      <c r="J1079" s="19">
        <f>[1]TOBEPAID!J826/1000</f>
        <v>0</v>
      </c>
      <c r="K1079" s="19">
        <f>[1]TOBEPAID!K826/1000</f>
        <v>0</v>
      </c>
      <c r="L1079" s="19">
        <f>[1]TOBEPAID!L826/1000</f>
        <v>0</v>
      </c>
      <c r="M1079" s="19">
        <f>[1]TOBEPAID!M826/1000</f>
        <v>0</v>
      </c>
      <c r="N1079" s="19">
        <f>[1]TOBEPAID!N826/1000</f>
        <v>1300</v>
      </c>
      <c r="O1079" s="19">
        <f>[1]TOBEPAID!O826/1000</f>
        <v>0</v>
      </c>
      <c r="P1079" s="19">
        <f>[1]TOBEPAID!P826/1000</f>
        <v>0</v>
      </c>
      <c r="Q1079" s="19">
        <f>[1]TOBEPAID!Q826/1000</f>
        <v>0</v>
      </c>
      <c r="R1079" s="19">
        <v>0</v>
      </c>
      <c r="S1079" s="19">
        <f>[1]TOBEPAID!S826/1000</f>
        <v>0</v>
      </c>
      <c r="T1079" s="19">
        <f>[1]TOBEPAID!T826/1000</f>
        <v>0</v>
      </c>
      <c r="U1079" s="19">
        <f>[1]TOBEPAID!U826/1000</f>
        <v>0</v>
      </c>
      <c r="V1079" s="19">
        <f>[1]TOBEPAID!V826/1000</f>
        <v>0</v>
      </c>
      <c r="W1079" s="19">
        <f>[1]TOBEPAID!W826/1000</f>
        <v>0</v>
      </c>
      <c r="X1079" s="19">
        <f>[1]TOBEPAID!X826/1000</f>
        <v>0</v>
      </c>
      <c r="Y1079" s="19">
        <f t="shared" si="194"/>
        <v>1300</v>
      </c>
      <c r="Z1079" s="19">
        <f t="shared" si="195"/>
        <v>0</v>
      </c>
      <c r="AA1079" s="19">
        <f>[1]TOBEPAID!AA826/1000</f>
        <v>1300</v>
      </c>
      <c r="AB1079" s="19">
        <f>[1]TOBEPAID!AB826/1000</f>
        <v>0</v>
      </c>
      <c r="AC1079" s="19"/>
      <c r="AD1079" s="19"/>
    </row>
    <row r="1080" spans="1:45" x14ac:dyDescent="0.2">
      <c r="A1080" s="18"/>
      <c r="D1080" s="21" t="s">
        <v>57</v>
      </c>
      <c r="E1080" s="21" t="s">
        <v>57</v>
      </c>
      <c r="F1080" s="21" t="s">
        <v>57</v>
      </c>
      <c r="G1080" s="21"/>
      <c r="H1080" s="21" t="s">
        <v>57</v>
      </c>
      <c r="I1080" s="21" t="s">
        <v>57</v>
      </c>
      <c r="J1080" s="21" t="s">
        <v>57</v>
      </c>
      <c r="K1080" s="21" t="s">
        <v>57</v>
      </c>
      <c r="L1080" s="21" t="s">
        <v>57</v>
      </c>
      <c r="M1080" s="21"/>
      <c r="N1080" s="21" t="s">
        <v>57</v>
      </c>
      <c r="O1080" s="21" t="s">
        <v>57</v>
      </c>
      <c r="P1080" s="21" t="s">
        <v>57</v>
      </c>
      <c r="Q1080" s="21"/>
      <c r="R1080" s="21" t="s">
        <v>57</v>
      </c>
      <c r="S1080" s="21" t="s">
        <v>57</v>
      </c>
      <c r="T1080" s="21" t="s">
        <v>57</v>
      </c>
      <c r="U1080" s="21" t="s">
        <v>57</v>
      </c>
      <c r="V1080" s="21" t="s">
        <v>57</v>
      </c>
      <c r="W1080" s="21"/>
      <c r="X1080" s="21" t="s">
        <v>57</v>
      </c>
      <c r="Y1080" s="21" t="s">
        <v>57</v>
      </c>
      <c r="Z1080" s="21" t="s">
        <v>57</v>
      </c>
      <c r="AA1080" s="21" t="s">
        <v>57</v>
      </c>
      <c r="AB1080" s="21" t="s">
        <v>57</v>
      </c>
      <c r="AC1080" s="21"/>
      <c r="AD1080" s="21"/>
    </row>
    <row r="1081" spans="1:45" x14ac:dyDescent="0.2">
      <c r="A1081" s="18"/>
      <c r="D1081" s="30">
        <f>SUM(D1073:D1079)</f>
        <v>275492.261</v>
      </c>
      <c r="E1081" s="30">
        <f>SUM(E1073:E1079)</f>
        <v>54370.993000000002</v>
      </c>
      <c r="F1081" s="30">
        <f>SUM(F1073:F1079)</f>
        <v>7000</v>
      </c>
      <c r="G1081" s="30"/>
      <c r="H1081" s="30">
        <f>SUM(H1073:H1079)</f>
        <v>275492.261</v>
      </c>
      <c r="I1081" s="30">
        <f>SUM(I1073:I1079)</f>
        <v>0</v>
      </c>
      <c r="J1081" s="30">
        <f>SUM(J1073:J1079)</f>
        <v>0</v>
      </c>
      <c r="K1081" s="30">
        <f>SUM(K1073:K1079)</f>
        <v>0</v>
      </c>
      <c r="L1081" s="30">
        <f>SUM(L1073:L1079)</f>
        <v>0</v>
      </c>
      <c r="M1081" s="30"/>
      <c r="N1081" s="30">
        <f>SUM(N1073:N1079)</f>
        <v>61370.993000000002</v>
      </c>
      <c r="O1081" s="30">
        <f>SUM(O1073:O1079)</f>
        <v>0</v>
      </c>
      <c r="P1081" s="30">
        <f>SUM(P1073:P1079)</f>
        <v>0</v>
      </c>
      <c r="Q1081" s="30"/>
      <c r="R1081" s="30">
        <f>SUM(R1073:R1079)</f>
        <v>0</v>
      </c>
      <c r="S1081" s="30">
        <f>SUM(S1073:S1079)</f>
        <v>0</v>
      </c>
      <c r="T1081" s="30">
        <f>SUM(T1073:T1079)</f>
        <v>0</v>
      </c>
      <c r="U1081" s="30">
        <f>SUM(U1073:U1079)</f>
        <v>0</v>
      </c>
      <c r="V1081" s="30">
        <f>SUM(V1073:V1079)</f>
        <v>0</v>
      </c>
      <c r="W1081" s="30"/>
      <c r="X1081" s="30">
        <f>SUM(X1073:X1079)</f>
        <v>0</v>
      </c>
      <c r="Y1081" s="30">
        <f>SUM(Y1073:Y1079)</f>
        <v>275492.261</v>
      </c>
      <c r="Z1081" s="30">
        <f>SUM(Z1073:Z1079)</f>
        <v>0</v>
      </c>
      <c r="AA1081" s="30">
        <f>SUM(AA1073:AA1079)</f>
        <v>61370.993000000002</v>
      </c>
      <c r="AB1081" s="30">
        <f>SUM(AB1073:AB1079)</f>
        <v>0</v>
      </c>
      <c r="AC1081" s="30"/>
      <c r="AD1081" s="30"/>
    </row>
    <row r="1082" spans="1:45" x14ac:dyDescent="0.2">
      <c r="A1082" s="18"/>
      <c r="D1082" s="21" t="s">
        <v>57</v>
      </c>
      <c r="E1082" s="21" t="s">
        <v>57</v>
      </c>
      <c r="F1082" s="21" t="s">
        <v>57</v>
      </c>
      <c r="G1082" s="21"/>
      <c r="H1082" s="21" t="s">
        <v>57</v>
      </c>
      <c r="I1082" s="21" t="s">
        <v>57</v>
      </c>
      <c r="J1082" s="21" t="s">
        <v>57</v>
      </c>
      <c r="K1082" s="21" t="s">
        <v>57</v>
      </c>
      <c r="L1082" s="21" t="s">
        <v>57</v>
      </c>
      <c r="M1082" s="21"/>
      <c r="N1082" s="21" t="s">
        <v>57</v>
      </c>
      <c r="O1082" s="21" t="s">
        <v>57</v>
      </c>
      <c r="P1082" s="21" t="s">
        <v>57</v>
      </c>
      <c r="Q1082" s="21"/>
      <c r="R1082" s="21" t="s">
        <v>57</v>
      </c>
      <c r="S1082" s="21" t="s">
        <v>57</v>
      </c>
      <c r="T1082" s="21" t="s">
        <v>57</v>
      </c>
      <c r="U1082" s="21" t="s">
        <v>57</v>
      </c>
      <c r="V1082" s="21" t="s">
        <v>57</v>
      </c>
      <c r="W1082" s="21"/>
      <c r="X1082" s="21" t="s">
        <v>57</v>
      </c>
      <c r="Y1082" s="21" t="s">
        <v>57</v>
      </c>
      <c r="Z1082" s="21" t="s">
        <v>57</v>
      </c>
      <c r="AA1082" s="21" t="s">
        <v>57</v>
      </c>
      <c r="AB1082" s="21" t="s">
        <v>57</v>
      </c>
      <c r="AC1082" s="21"/>
      <c r="AD1082" s="21"/>
    </row>
    <row r="1083" spans="1:45" x14ac:dyDescent="0.2">
      <c r="A1083" s="18">
        <v>85</v>
      </c>
      <c r="B1083" s="3" t="s">
        <v>316</v>
      </c>
      <c r="C1083" s="17" t="s">
        <v>51</v>
      </c>
      <c r="D1083" s="19">
        <f>14768052/1000</f>
        <v>14768.052</v>
      </c>
      <c r="E1083" s="19">
        <f>[1]TOBEPAID!E830/1000</f>
        <v>0</v>
      </c>
      <c r="F1083" s="19">
        <f>[1]TOBEPAID!F830/1000</f>
        <v>0</v>
      </c>
      <c r="G1083" s="19">
        <f>[1]TOBEPAID!G830/1000</f>
        <v>0</v>
      </c>
      <c r="H1083" s="19">
        <v>0</v>
      </c>
      <c r="I1083" s="19">
        <f>[1]TOBEPAID!I830/1000</f>
        <v>0</v>
      </c>
      <c r="J1083" s="19">
        <f>[1]TOBEPAID!J830/1000</f>
        <v>0</v>
      </c>
      <c r="K1083" s="19">
        <f>[1]TOBEPAID!K830/1000</f>
        <v>0</v>
      </c>
      <c r="L1083" s="19">
        <f>[1]TOBEPAID!L830/1000</f>
        <v>0</v>
      </c>
      <c r="M1083" s="19">
        <f>[1]TOBEPAID!M830/1000</f>
        <v>0</v>
      </c>
      <c r="N1083" s="19">
        <f>[1]TOBEPAID!N830/1000</f>
        <v>0</v>
      </c>
      <c r="O1083" s="19">
        <f>[1]TOBEPAID!O830/1000</f>
        <v>0</v>
      </c>
      <c r="P1083" s="19">
        <f>[1]TOBEPAID!P830/1000</f>
        <v>0</v>
      </c>
      <c r="Q1083" s="19">
        <f>[1]TOBEPAID!Q830/1000</f>
        <v>0</v>
      </c>
      <c r="R1083" s="19">
        <v>0</v>
      </c>
      <c r="S1083" s="19">
        <f>[1]TOBEPAID!S830/1000</f>
        <v>0</v>
      </c>
      <c r="T1083" s="19">
        <f>[1]TOBEPAID!T830/1000</f>
        <v>0</v>
      </c>
      <c r="U1083" s="19">
        <f>[1]TOBEPAID!U830/1000</f>
        <v>0</v>
      </c>
      <c r="V1083" s="19">
        <f>[1]TOBEPAID!V830/1000</f>
        <v>0</v>
      </c>
      <c r="W1083" s="19">
        <f>[1]TOBEPAID!W830/1000</f>
        <v>0</v>
      </c>
      <c r="X1083" s="19">
        <f>[1]TOBEPAID!X830/1000</f>
        <v>0</v>
      </c>
      <c r="Y1083" s="19">
        <f>+H1083+R1083</f>
        <v>0</v>
      </c>
      <c r="Z1083" s="19">
        <f>+D1083-Y1083</f>
        <v>14768.052</v>
      </c>
      <c r="AA1083" s="19">
        <f>[1]TOBEPAID!AA830/1000</f>
        <v>0</v>
      </c>
      <c r="AB1083" s="19">
        <f>[1]TOBEPAID!AB830/1000</f>
        <v>14768.052300000001</v>
      </c>
      <c r="AC1083" s="19"/>
      <c r="AD1083" s="19"/>
    </row>
    <row r="1084" spans="1:45" x14ac:dyDescent="0.2">
      <c r="A1084" s="18"/>
      <c r="C1084" s="3" t="s">
        <v>52</v>
      </c>
      <c r="D1084" s="19">
        <f>3333153/1000</f>
        <v>3333.1529999999998</v>
      </c>
      <c r="E1084" s="19">
        <f>[1]TOBEPAID!E831/1000</f>
        <v>3333.1529999999998</v>
      </c>
      <c r="F1084" s="19">
        <f>[1]TOBEPAID!F831/1000</f>
        <v>0</v>
      </c>
      <c r="G1084" s="19">
        <f>[1]TOBEPAID!G831/1000</f>
        <v>0</v>
      </c>
      <c r="H1084" s="19">
        <f>3333153/1000</f>
        <v>3333.1529999999998</v>
      </c>
      <c r="I1084" s="19">
        <f>[1]TOBEPAID!I831/1000</f>
        <v>0</v>
      </c>
      <c r="J1084" s="19">
        <f>[1]TOBEPAID!J831/1000</f>
        <v>0</v>
      </c>
      <c r="K1084" s="19">
        <f>[1]TOBEPAID!K831/1000</f>
        <v>0</v>
      </c>
      <c r="L1084" s="19">
        <f>[1]TOBEPAID!L831/1000</f>
        <v>0</v>
      </c>
      <c r="M1084" s="19">
        <f>[1]TOBEPAID!M831/1000</f>
        <v>0</v>
      </c>
      <c r="N1084" s="19">
        <f>[1]TOBEPAID!N831/1000</f>
        <v>3333.1529999999998</v>
      </c>
      <c r="O1084" s="19">
        <f>[1]TOBEPAID!O831/1000</f>
        <v>0</v>
      </c>
      <c r="P1084" s="19">
        <f>[1]TOBEPAID!P831/1000</f>
        <v>0</v>
      </c>
      <c r="Q1084" s="19">
        <f>[1]TOBEPAID!Q831/1000</f>
        <v>0</v>
      </c>
      <c r="R1084" s="19">
        <v>0</v>
      </c>
      <c r="S1084" s="19">
        <f>[1]TOBEPAID!S831/1000</f>
        <v>0</v>
      </c>
      <c r="T1084" s="19">
        <f>[1]TOBEPAID!T831/1000</f>
        <v>0</v>
      </c>
      <c r="U1084" s="19">
        <f>[1]TOBEPAID!U831/1000</f>
        <v>0</v>
      </c>
      <c r="V1084" s="19">
        <f>[1]TOBEPAID!V831/1000</f>
        <v>0</v>
      </c>
      <c r="W1084" s="19">
        <f>[1]TOBEPAID!W831/1000</f>
        <v>0</v>
      </c>
      <c r="X1084" s="19">
        <f>[1]TOBEPAID!X831/1000</f>
        <v>0</v>
      </c>
      <c r="Y1084" s="19">
        <f>+H1084+R1084</f>
        <v>3333.1529999999998</v>
      </c>
      <c r="Z1084" s="19">
        <f>+D1084-Y1084</f>
        <v>0</v>
      </c>
      <c r="AA1084" s="19">
        <f>[1]TOBEPAID!AA831/1000</f>
        <v>3333.1529999999998</v>
      </c>
      <c r="AB1084" s="19">
        <f>[1]TOBEPAID!AB831/1000</f>
        <v>0</v>
      </c>
      <c r="AC1084" s="19"/>
      <c r="AD1084" s="19"/>
    </row>
    <row r="1085" spans="1:45" x14ac:dyDescent="0.2">
      <c r="C1085" s="3" t="s">
        <v>67</v>
      </c>
      <c r="D1085" s="19">
        <f>7368000/1000</f>
        <v>7368</v>
      </c>
      <c r="E1085" s="19">
        <f>[1]TOBEPAID!E832/1000</f>
        <v>7368</v>
      </c>
      <c r="F1085" s="19">
        <f>[1]TOBEPAID!F832/1000</f>
        <v>0</v>
      </c>
      <c r="G1085" s="19">
        <f>[1]TOBEPAID!G832/1000</f>
        <v>0</v>
      </c>
      <c r="H1085" s="19">
        <f>7368000/1000</f>
        <v>7368</v>
      </c>
      <c r="I1085" s="19">
        <f>[1]TOBEPAID!I832/1000</f>
        <v>0</v>
      </c>
      <c r="J1085" s="19">
        <f>[1]TOBEPAID!J832/1000</f>
        <v>0</v>
      </c>
      <c r="K1085" s="19">
        <f>[1]TOBEPAID!K832/1000</f>
        <v>0</v>
      </c>
      <c r="L1085" s="19">
        <f>[1]TOBEPAID!L832/1000</f>
        <v>0</v>
      </c>
      <c r="M1085" s="19">
        <f>[1]TOBEPAID!M832/1000</f>
        <v>0</v>
      </c>
      <c r="N1085" s="19">
        <f>[1]TOBEPAID!N832/1000</f>
        <v>7368</v>
      </c>
      <c r="O1085" s="19">
        <f>[1]TOBEPAID!O832/1000</f>
        <v>0</v>
      </c>
      <c r="P1085" s="19">
        <f>[1]TOBEPAID!P832/1000</f>
        <v>0</v>
      </c>
      <c r="Q1085" s="19">
        <f>[1]TOBEPAID!Q832/1000</f>
        <v>0</v>
      </c>
      <c r="R1085" s="19">
        <v>0</v>
      </c>
      <c r="S1085" s="19">
        <f>[1]TOBEPAID!S832/1000</f>
        <v>0</v>
      </c>
      <c r="T1085" s="19">
        <f>[1]TOBEPAID!T832/1000</f>
        <v>0</v>
      </c>
      <c r="U1085" s="19">
        <f>[1]TOBEPAID!U832/1000</f>
        <v>0</v>
      </c>
      <c r="V1085" s="19">
        <f>[1]TOBEPAID!V832/1000</f>
        <v>0</v>
      </c>
      <c r="W1085" s="19">
        <f>[1]TOBEPAID!W832/1000</f>
        <v>0</v>
      </c>
      <c r="X1085" s="19">
        <f>[1]TOBEPAID!X832/1000</f>
        <v>0</v>
      </c>
      <c r="Y1085" s="19">
        <f>+H1085+R1085</f>
        <v>7368</v>
      </c>
      <c r="Z1085" s="19">
        <f>+D1085-Y1085</f>
        <v>0</v>
      </c>
      <c r="AA1085" s="19">
        <f>[1]TOBEPAID!AA832/1000</f>
        <v>7368</v>
      </c>
      <c r="AB1085" s="19">
        <f>[1]TOBEPAID!AB832/1000</f>
        <v>0</v>
      </c>
      <c r="AC1085" s="19"/>
      <c r="AD1085" s="19"/>
    </row>
    <row r="1086" spans="1:45" x14ac:dyDescent="0.2">
      <c r="A1086" s="18"/>
      <c r="C1086" s="3" t="s">
        <v>96</v>
      </c>
      <c r="D1086" s="19">
        <f>25517706/1000</f>
        <v>25517.705999999998</v>
      </c>
      <c r="E1086" s="19">
        <f>[1]TOBEPAID!E833/1000</f>
        <v>0</v>
      </c>
      <c r="F1086" s="19">
        <f>[1]TOBEPAID!F833/1000</f>
        <v>0</v>
      </c>
      <c r="G1086" s="19">
        <f>[1]TOBEPAID!G833/1000</f>
        <v>0</v>
      </c>
      <c r="H1086" s="19">
        <v>0</v>
      </c>
      <c r="I1086" s="19">
        <f>[1]TOBEPAID!I833/1000</f>
        <v>0</v>
      </c>
      <c r="J1086" s="19">
        <f>[1]TOBEPAID!J833/1000</f>
        <v>0</v>
      </c>
      <c r="K1086" s="19">
        <f>[1]TOBEPAID!K833/1000</f>
        <v>0</v>
      </c>
      <c r="L1086" s="19">
        <f>[1]TOBEPAID!L833/1000</f>
        <v>0</v>
      </c>
      <c r="M1086" s="19">
        <f>[1]TOBEPAID!M833/1000</f>
        <v>0</v>
      </c>
      <c r="N1086" s="19">
        <f>[1]TOBEPAID!N833/1000</f>
        <v>0</v>
      </c>
      <c r="O1086" s="19">
        <f>[1]TOBEPAID!O833/1000</f>
        <v>7100.8744999999999</v>
      </c>
      <c r="P1086" s="19">
        <f>[1]TOBEPAID!P833/1000</f>
        <v>0</v>
      </c>
      <c r="Q1086" s="19">
        <f>[1]TOBEPAID!Q833/1000</f>
        <v>0</v>
      </c>
      <c r="R1086" s="19">
        <f>7100874/1000</f>
        <v>7100.8739999999998</v>
      </c>
      <c r="S1086" s="19">
        <f>[1]TOBEPAID!S833/1000</f>
        <v>0</v>
      </c>
      <c r="T1086" s="19">
        <f>[1]TOBEPAID!T833/1000</f>
        <v>0</v>
      </c>
      <c r="U1086" s="19">
        <f>[1]TOBEPAID!U833/1000</f>
        <v>0</v>
      </c>
      <c r="V1086" s="19">
        <f>[1]TOBEPAID!V833/1000</f>
        <v>0</v>
      </c>
      <c r="W1086" s="19">
        <f>[1]TOBEPAID!W833/1000</f>
        <v>0</v>
      </c>
      <c r="X1086" s="19">
        <f>[1]TOBEPAID!X833/1000</f>
        <v>7100.8744999999999</v>
      </c>
      <c r="Y1086" s="19">
        <f>+H1086+R1086</f>
        <v>7100.8739999999998</v>
      </c>
      <c r="Z1086" s="19">
        <f>+D1086-Y1086</f>
        <v>18416.831999999999</v>
      </c>
      <c r="AA1086" s="19">
        <f>[1]TOBEPAID!AA833/1000</f>
        <v>7100.8744999999999</v>
      </c>
      <c r="AB1086" s="19">
        <f>[1]TOBEPAID!AB833/1000</f>
        <v>18416.831989999999</v>
      </c>
      <c r="AC1086" s="19"/>
      <c r="AD1086" s="19"/>
    </row>
    <row r="1087" spans="1:45" x14ac:dyDescent="0.2">
      <c r="A1087" s="18"/>
      <c r="C1087" s="3" t="s">
        <v>317</v>
      </c>
      <c r="D1087" s="19">
        <f>6039271/1000</f>
        <v>6039.2709999999997</v>
      </c>
      <c r="E1087" s="19">
        <f>[1]TOBEPAID!E834/1000</f>
        <v>0</v>
      </c>
      <c r="F1087" s="19">
        <f>[1]TOBEPAID!F834/1000</f>
        <v>0</v>
      </c>
      <c r="G1087" s="19">
        <f>[1]TOBEPAID!G834/1000</f>
        <v>0</v>
      </c>
      <c r="H1087" s="19">
        <v>0</v>
      </c>
      <c r="I1087" s="19">
        <f>[1]TOBEPAID!I834/1000</f>
        <v>0</v>
      </c>
      <c r="J1087" s="19">
        <f>[1]TOBEPAID!J834/1000</f>
        <v>0</v>
      </c>
      <c r="K1087" s="19">
        <f>[1]TOBEPAID!K834/1000</f>
        <v>0</v>
      </c>
      <c r="L1087" s="19">
        <f>[1]TOBEPAID!L834/1000</f>
        <v>0</v>
      </c>
      <c r="M1087" s="19">
        <f>[1]TOBEPAID!M834/1000</f>
        <v>0</v>
      </c>
      <c r="N1087" s="19">
        <f>[1]TOBEPAID!N834/1000</f>
        <v>0</v>
      </c>
      <c r="O1087" s="19">
        <f>[1]TOBEPAID!O834/1000</f>
        <v>6039.2714599999999</v>
      </c>
      <c r="P1087" s="19">
        <f>[1]TOBEPAID!P834/1000</f>
        <v>0</v>
      </c>
      <c r="Q1087" s="19">
        <f>[1]TOBEPAID!Q834/1000</f>
        <v>0</v>
      </c>
      <c r="R1087" s="19">
        <f>6039271/1000</f>
        <v>6039.2709999999997</v>
      </c>
      <c r="S1087" s="19">
        <f>[1]TOBEPAID!S834/1000</f>
        <v>0</v>
      </c>
      <c r="T1087" s="19">
        <f>[1]TOBEPAID!T834/1000</f>
        <v>0</v>
      </c>
      <c r="U1087" s="19">
        <f>[1]TOBEPAID!U834/1000</f>
        <v>0</v>
      </c>
      <c r="V1087" s="19">
        <f>[1]TOBEPAID!V834/1000</f>
        <v>0</v>
      </c>
      <c r="W1087" s="19">
        <f>[1]TOBEPAID!W834/1000</f>
        <v>0</v>
      </c>
      <c r="X1087" s="19">
        <f>[1]TOBEPAID!X834/1000</f>
        <v>6039.2714599999999</v>
      </c>
      <c r="Y1087" s="19">
        <f>+H1087+R1087</f>
        <v>6039.2709999999997</v>
      </c>
      <c r="Z1087" s="19">
        <f>+D1087-Y1087</f>
        <v>0</v>
      </c>
      <c r="AA1087" s="19">
        <f>[1]TOBEPAID!AA834/1000</f>
        <v>6039.2714599999999</v>
      </c>
      <c r="AB1087" s="19">
        <f>[1]TOBEPAID!AB834/1000</f>
        <v>0</v>
      </c>
      <c r="AC1087" s="19"/>
      <c r="AD1087" s="19"/>
    </row>
    <row r="1088" spans="1:45" x14ac:dyDescent="0.2">
      <c r="A1088" s="18"/>
      <c r="D1088" s="21" t="s">
        <v>57</v>
      </c>
      <c r="E1088" s="21" t="s">
        <v>57</v>
      </c>
      <c r="F1088" s="21" t="s">
        <v>57</v>
      </c>
      <c r="G1088" s="21"/>
      <c r="H1088" s="21" t="s">
        <v>57</v>
      </c>
      <c r="I1088" s="21" t="s">
        <v>57</v>
      </c>
      <c r="J1088" s="21" t="s">
        <v>57</v>
      </c>
      <c r="K1088" s="21" t="s">
        <v>57</v>
      </c>
      <c r="L1088" s="21" t="s">
        <v>57</v>
      </c>
      <c r="M1088" s="21"/>
      <c r="N1088" s="21" t="s">
        <v>57</v>
      </c>
      <c r="O1088" s="21" t="s">
        <v>57</v>
      </c>
      <c r="P1088" s="21" t="s">
        <v>57</v>
      </c>
      <c r="Q1088" s="21"/>
      <c r="R1088" s="21" t="s">
        <v>57</v>
      </c>
      <c r="S1088" s="21" t="s">
        <v>57</v>
      </c>
      <c r="T1088" s="21" t="s">
        <v>57</v>
      </c>
      <c r="U1088" s="21" t="s">
        <v>57</v>
      </c>
      <c r="V1088" s="21" t="s">
        <v>57</v>
      </c>
      <c r="W1088" s="21"/>
      <c r="X1088" s="21" t="s">
        <v>57</v>
      </c>
      <c r="Y1088" s="21" t="s">
        <v>57</v>
      </c>
      <c r="Z1088" s="21" t="s">
        <v>57</v>
      </c>
      <c r="AA1088" s="21" t="s">
        <v>57</v>
      </c>
      <c r="AB1088" s="21" t="s">
        <v>57</v>
      </c>
      <c r="AC1088" s="21"/>
      <c r="AD1088" s="21"/>
      <c r="AS1088" s="34">
        <f t="shared" ref="AS1088:AS1098" si="196">+AF1089-AK1089-AP1089</f>
        <v>281900</v>
      </c>
    </row>
    <row r="1089" spans="1:45" x14ac:dyDescent="0.2">
      <c r="A1089" s="18"/>
      <c r="D1089" s="30">
        <f>SUM(D1083:D1087)</f>
        <v>57026.181999999993</v>
      </c>
      <c r="E1089" s="30">
        <f>SUM(E1083:E1087)</f>
        <v>10701.153</v>
      </c>
      <c r="F1089" s="30">
        <f>SUM(F1083:F1087)</f>
        <v>0</v>
      </c>
      <c r="G1089" s="30"/>
      <c r="H1089" s="30">
        <f>SUM(H1083:H1087)</f>
        <v>10701.153</v>
      </c>
      <c r="I1089" s="30">
        <f>SUM(I1083:I1087)</f>
        <v>0</v>
      </c>
      <c r="J1089" s="30">
        <f>SUM(J1083:J1087)</f>
        <v>0</v>
      </c>
      <c r="K1089" s="30">
        <f>SUM(K1083:K1087)</f>
        <v>0</v>
      </c>
      <c r="L1089" s="30">
        <f>SUM(L1083:L1087)</f>
        <v>0</v>
      </c>
      <c r="M1089" s="30"/>
      <c r="N1089" s="30">
        <f>SUM(N1083:N1087)</f>
        <v>10701.153</v>
      </c>
      <c r="O1089" s="30">
        <f>SUM(O1083:O1087)</f>
        <v>13140.14596</v>
      </c>
      <c r="P1089" s="30">
        <f>SUM(P1083:P1087)</f>
        <v>0</v>
      </c>
      <c r="Q1089" s="30"/>
      <c r="R1089" s="30">
        <f>SUM(R1083:R1087)</f>
        <v>13140.145</v>
      </c>
      <c r="S1089" s="30">
        <f>SUM(S1083:S1087)</f>
        <v>0</v>
      </c>
      <c r="T1089" s="30">
        <f>SUM(T1083:T1087)</f>
        <v>0</v>
      </c>
      <c r="U1089" s="30">
        <f>SUM(U1083:U1087)</f>
        <v>0</v>
      </c>
      <c r="V1089" s="30">
        <f>SUM(V1083:V1087)</f>
        <v>0</v>
      </c>
      <c r="W1089" s="30"/>
      <c r="X1089" s="30">
        <f>SUM(X1083:X1087)</f>
        <v>13140.14596</v>
      </c>
      <c r="Y1089" s="30">
        <f>SUM(Y1083:Y1087)</f>
        <v>23841.298000000003</v>
      </c>
      <c r="Z1089" s="30">
        <f>SUM(Z1083:Z1087)</f>
        <v>33184.883999999998</v>
      </c>
      <c r="AA1089" s="30">
        <f>SUM(AA1083:AA1087)</f>
        <v>23841.29896</v>
      </c>
      <c r="AB1089" s="30">
        <f>SUM(AB1083:AB1087)</f>
        <v>33184.884290000002</v>
      </c>
      <c r="AC1089" s="30"/>
      <c r="AD1089" s="30"/>
      <c r="AF1089" s="34">
        <f>+D1085+D995+D1075+D1038</f>
        <v>429762.35106000002</v>
      </c>
      <c r="AG1089" s="34">
        <f>+E1085+E995+E1075+E1038</f>
        <v>130862.35106</v>
      </c>
      <c r="AH1089" s="34">
        <f>+F1085+F995+F1075+F1038</f>
        <v>17000</v>
      </c>
      <c r="AI1089" s="34">
        <f>+AG1089+AH1089</f>
        <v>147862.35106000002</v>
      </c>
      <c r="AJ1089" s="34">
        <f>+L1085+L995+L1075+L1038</f>
        <v>0</v>
      </c>
      <c r="AK1089" s="34">
        <f>+AI1089+AJ1089</f>
        <v>147862.35106000002</v>
      </c>
      <c r="AL1089" s="34">
        <f>+O1085+O995+O1075+O1038</f>
        <v>0</v>
      </c>
      <c r="AM1089" s="34">
        <f>+P1085+P995+P1075+P1038</f>
        <v>0</v>
      </c>
      <c r="AN1089" s="34">
        <f>+AL1089+AM1089</f>
        <v>0</v>
      </c>
      <c r="AO1089" s="34">
        <f>+V1085+V995+V1075+V1038</f>
        <v>0</v>
      </c>
      <c r="AP1089" s="34">
        <f>+AN1089+AO1089</f>
        <v>0</v>
      </c>
      <c r="AQ1089" s="34">
        <f>+AI1089+AN1089</f>
        <v>147862.35106000002</v>
      </c>
      <c r="AR1089" s="34">
        <f>+AF1089-AQ1089</f>
        <v>281900</v>
      </c>
      <c r="AS1089" s="34">
        <f t="shared" si="196"/>
        <v>155024.0655</v>
      </c>
    </row>
    <row r="1090" spans="1:45" x14ac:dyDescent="0.2">
      <c r="A1090" s="18"/>
      <c r="D1090" s="21" t="s">
        <v>57</v>
      </c>
      <c r="E1090" s="21" t="s">
        <v>57</v>
      </c>
      <c r="F1090" s="21" t="s">
        <v>57</v>
      </c>
      <c r="G1090" s="21"/>
      <c r="H1090" s="21" t="s">
        <v>57</v>
      </c>
      <c r="I1090" s="21" t="s">
        <v>57</v>
      </c>
      <c r="J1090" s="21" t="s">
        <v>57</v>
      </c>
      <c r="K1090" s="21" t="s">
        <v>57</v>
      </c>
      <c r="L1090" s="21" t="s">
        <v>57</v>
      </c>
      <c r="M1090" s="21"/>
      <c r="N1090" s="21" t="s">
        <v>57</v>
      </c>
      <c r="O1090" s="21" t="s">
        <v>57</v>
      </c>
      <c r="P1090" s="21" t="s">
        <v>57</v>
      </c>
      <c r="Q1090" s="21"/>
      <c r="R1090" s="21" t="s">
        <v>57</v>
      </c>
      <c r="S1090" s="21" t="s">
        <v>57</v>
      </c>
      <c r="T1090" s="21" t="s">
        <v>57</v>
      </c>
      <c r="U1090" s="21" t="s">
        <v>57</v>
      </c>
      <c r="V1090" s="21" t="s">
        <v>57</v>
      </c>
      <c r="W1090" s="21"/>
      <c r="X1090" s="21" t="s">
        <v>57</v>
      </c>
      <c r="Y1090" s="21" t="s">
        <v>57</v>
      </c>
      <c r="Z1090" s="21" t="s">
        <v>57</v>
      </c>
      <c r="AA1090" s="21" t="s">
        <v>57</v>
      </c>
      <c r="AB1090" s="21" t="s">
        <v>57</v>
      </c>
      <c r="AC1090" s="21"/>
      <c r="AD1090" s="21"/>
      <c r="AE1090" s="33" t="s">
        <v>86</v>
      </c>
      <c r="AF1090" s="34">
        <f>D992+D1006+D1015+D1027+D1036+D1047+D1054+D1063+D1073+D1083+D1093</f>
        <v>155080.13749999998</v>
      </c>
      <c r="AG1090" s="34">
        <f>E992+E1006+E1015+E1027+E1036+E1047+E1054+E1063+E1073+E1083+E1093</f>
        <v>0</v>
      </c>
      <c r="AH1090" s="34">
        <f>F992+F1006+F1015+F1027+F1036+F1047+F1054+F1063+F1073+F1083+F1093</f>
        <v>0</v>
      </c>
      <c r="AI1090" s="34">
        <f>+AG1090+AH1090</f>
        <v>0</v>
      </c>
      <c r="AJ1090" s="34">
        <f>L992+L1006+L1015+L1027+L1036+L1047+L1054+L1063+L1073+L1083+L1093</f>
        <v>0</v>
      </c>
      <c r="AK1090" s="34">
        <f>+AI1090+AJ1090</f>
        <v>0</v>
      </c>
      <c r="AL1090" s="34">
        <f>O992+O1006+O1015+O1027+O1036+O1047+O1054+O1063+O1073+O1083+O1093</f>
        <v>56.072000000000003</v>
      </c>
      <c r="AM1090" s="34">
        <f>P992+P1006+P1015+P1027+P1036+P1047+P1054+P1063+P1073+P1083+P1093</f>
        <v>0</v>
      </c>
      <c r="AN1090" s="34">
        <f>+AL1090+AM1090</f>
        <v>56.072000000000003</v>
      </c>
      <c r="AO1090" s="34">
        <f>V992+V1006+V1015+V1027+V1036+V1047+V1054+V1063+V1073+V1083+V1093</f>
        <v>0</v>
      </c>
      <c r="AP1090" s="34">
        <f>+AN1090+AO1090</f>
        <v>56.072000000000003</v>
      </c>
      <c r="AQ1090" s="34">
        <f>+AI1090+AN1090</f>
        <v>56.072000000000003</v>
      </c>
      <c r="AR1090" s="34">
        <f>+AF1090-AQ1090</f>
        <v>155024.0655</v>
      </c>
      <c r="AS1090" s="34">
        <f t="shared" si="196"/>
        <v>0</v>
      </c>
    </row>
    <row r="1091" spans="1:45" x14ac:dyDescent="0.2">
      <c r="A1091" s="18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68"/>
      <c r="R1091" s="30"/>
      <c r="S1091" s="21"/>
      <c r="T1091" s="21"/>
      <c r="U1091" s="21"/>
      <c r="V1091" s="30"/>
      <c r="W1091" s="21"/>
      <c r="X1091" s="21"/>
      <c r="Y1091" s="21"/>
      <c r="Z1091" s="21"/>
      <c r="AA1091" s="21"/>
      <c r="AB1091" s="21"/>
      <c r="AC1091" s="21"/>
      <c r="AD1091" s="21"/>
      <c r="AE1091" s="25" t="s">
        <v>85</v>
      </c>
      <c r="AF1091" s="34">
        <f>D993+D1007+D1019+D1028+D1037+D1048+D1055+D1065+D1074+D1084+D1094</f>
        <v>18595.144</v>
      </c>
      <c r="AG1091" s="34">
        <f>E993+E1007+E1019+E1028+E1037+E1048+E1055+E1065+E1074+E1084+E1094</f>
        <v>18595.144</v>
      </c>
      <c r="AH1091" s="34">
        <f>F993+F1007+F1019+F1028+F1037+F1048+F1055+F1065+F1074+F1084+F1094</f>
        <v>0</v>
      </c>
      <c r="AI1091" s="34">
        <f t="shared" ref="AI1091:AI1099" si="197">+AG1091+AH1091</f>
        <v>18595.144</v>
      </c>
      <c r="AJ1091" s="34">
        <f>L993+L1007+L1019+L1028+L1037+L1048+L1055+L1065+L1074+L1084+L1094</f>
        <v>0</v>
      </c>
      <c r="AK1091" s="34">
        <f t="shared" ref="AK1091:AK1099" si="198">+AI1091+AJ1091</f>
        <v>18595.144</v>
      </c>
      <c r="AL1091" s="34">
        <f>O993+O1007+O1019+O1028+O1037+O1048+O1055+O1065+O1074+O1084+O1094</f>
        <v>0</v>
      </c>
      <c r="AM1091" s="34">
        <f>P993+P1007+P1019+P1028+P1037+P1048+P1055+P1065+P1074+P1084+P1094</f>
        <v>0</v>
      </c>
      <c r="AN1091" s="34">
        <f t="shared" ref="AN1091:AN1099" si="199">+AL1091+AM1091</f>
        <v>0</v>
      </c>
      <c r="AO1091" s="34">
        <f>V993+V1007+V1019+V1028+V1037+V1048+V1055+V1065+V1074+V1084+V1094</f>
        <v>0</v>
      </c>
      <c r="AP1091" s="34">
        <f t="shared" ref="AP1091:AP1099" si="200">+AN1091+AO1091</f>
        <v>0</v>
      </c>
      <c r="AQ1091" s="34">
        <f t="shared" ref="AQ1091:AQ1099" si="201">+AI1091+AN1091</f>
        <v>18595.144</v>
      </c>
      <c r="AR1091" s="34">
        <f t="shared" ref="AR1091:AR1099" si="202">+AF1091-AQ1091</f>
        <v>0</v>
      </c>
      <c r="AS1091" s="34">
        <f t="shared" si="196"/>
        <v>18594.815510000008</v>
      </c>
    </row>
    <row r="1092" spans="1:45" x14ac:dyDescent="0.2">
      <c r="A1092" s="18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21"/>
      <c r="AE1092" s="25" t="s">
        <v>52</v>
      </c>
      <c r="AF1092" s="34">
        <f>D1000+D1008+D1030+D1040+D1049+D1057+D1086</f>
        <v>67267.692999999999</v>
      </c>
      <c r="AG1092" s="34">
        <f>E1000+E1008+E1030+E1040+E1049+E1057+E1086</f>
        <v>0</v>
      </c>
      <c r="AH1092" s="34">
        <f>F1000+F1008+F1030+F1040+F1049+F1057+F1086</f>
        <v>0</v>
      </c>
      <c r="AI1092" s="34">
        <f t="shared" si="197"/>
        <v>0</v>
      </c>
      <c r="AJ1092" s="34">
        <f>L1000+L1008+L1030+L1040+L1049+L1057+L1086</f>
        <v>0</v>
      </c>
      <c r="AK1092" s="34">
        <f t="shared" si="198"/>
        <v>0</v>
      </c>
      <c r="AL1092" s="34">
        <f>O1000+O1008+O1030+O1040+O1049+O1057+O1086</f>
        <v>48672.877489999992</v>
      </c>
      <c r="AM1092" s="34">
        <f>P1000+P1008+P1030+P1040+P1049+P1057+P1086</f>
        <v>0</v>
      </c>
      <c r="AN1092" s="34">
        <f t="shared" si="199"/>
        <v>48672.877489999992</v>
      </c>
      <c r="AO1092" s="34">
        <f>V1000+V1008+V1030+V1040+V1049+V1057+V1086</f>
        <v>0</v>
      </c>
      <c r="AP1092" s="34">
        <f t="shared" si="200"/>
        <v>48672.877489999992</v>
      </c>
      <c r="AQ1092" s="34">
        <f t="shared" si="201"/>
        <v>48672.877489999992</v>
      </c>
      <c r="AR1092" s="34">
        <f t="shared" si="202"/>
        <v>18594.815510000008</v>
      </c>
      <c r="AS1092" s="34">
        <f t="shared" si="196"/>
        <v>1047.4944300000061</v>
      </c>
    </row>
    <row r="1093" spans="1:45" x14ac:dyDescent="0.2">
      <c r="A1093" s="18">
        <v>86</v>
      </c>
      <c r="B1093" s="3" t="s">
        <v>318</v>
      </c>
      <c r="C1093" s="17" t="s">
        <v>51</v>
      </c>
      <c r="D1093" s="19">
        <f>29536054/1000</f>
        <v>29536.054</v>
      </c>
      <c r="E1093" s="19">
        <f>[1]TOBEPAID!E840/1000</f>
        <v>0</v>
      </c>
      <c r="F1093" s="19">
        <f>[1]TOBEPAID!F840/1000</f>
        <v>0</v>
      </c>
      <c r="G1093" s="19">
        <f>[1]TOBEPAID!G840/1000</f>
        <v>0</v>
      </c>
      <c r="H1093" s="19">
        <f>23400000/1000</f>
        <v>23400</v>
      </c>
      <c r="I1093" s="19">
        <f>[1]TOBEPAID!I840/1000</f>
        <v>0</v>
      </c>
      <c r="J1093" s="19">
        <f>[1]TOBEPAID!J840/1000</f>
        <v>0</v>
      </c>
      <c r="K1093" s="19">
        <f>[1]TOBEPAID!K840/1000</f>
        <v>0</v>
      </c>
      <c r="L1093" s="19">
        <f>[1]TOBEPAID!L840/1000</f>
        <v>0</v>
      </c>
      <c r="M1093" s="19">
        <f>[1]TOBEPAID!M840/1000</f>
        <v>0</v>
      </c>
      <c r="N1093" s="19">
        <f>[1]TOBEPAID!N840/1000</f>
        <v>0</v>
      </c>
      <c r="O1093" s="19">
        <f>[1]TOBEPAID!O840/1000</f>
        <v>0</v>
      </c>
      <c r="P1093" s="19">
        <f>[1]TOBEPAID!P840/1000</f>
        <v>0</v>
      </c>
      <c r="Q1093" s="19">
        <f>[1]TOBEPAID!Q840/1000</f>
        <v>0</v>
      </c>
      <c r="R1093" s="19">
        <v>0</v>
      </c>
      <c r="S1093" s="19">
        <f>[1]TOBEPAID!S840/1000</f>
        <v>0</v>
      </c>
      <c r="T1093" s="19">
        <f>[1]TOBEPAID!T840/1000</f>
        <v>0</v>
      </c>
      <c r="U1093" s="19">
        <f>[1]TOBEPAID!U840/1000</f>
        <v>0</v>
      </c>
      <c r="V1093" s="19">
        <f>[1]TOBEPAID!V840/1000</f>
        <v>0</v>
      </c>
      <c r="W1093" s="19">
        <f>[1]TOBEPAID!W840/1000</f>
        <v>0</v>
      </c>
      <c r="X1093" s="19">
        <f>[1]TOBEPAID!X840/1000</f>
        <v>0</v>
      </c>
      <c r="Y1093" s="19">
        <f>+H1093+R1093</f>
        <v>23400</v>
      </c>
      <c r="Z1093" s="19">
        <f>+D1093-Y1093</f>
        <v>6136.0540000000001</v>
      </c>
      <c r="AA1093" s="19">
        <f>[1]TOBEPAID!AA840/1000</f>
        <v>0</v>
      </c>
      <c r="AB1093" s="19">
        <f>[1]TOBEPAID!AB840/1000</f>
        <v>23411.354460000002</v>
      </c>
      <c r="AC1093" s="19"/>
      <c r="AD1093" s="19"/>
      <c r="AE1093" s="25" t="s">
        <v>96</v>
      </c>
      <c r="AF1093" s="34">
        <f>D1001+D1009+D1032+D1041+D1050+D1059+D1087</f>
        <v>71959.703999999998</v>
      </c>
      <c r="AG1093" s="34">
        <f>E1001+E1009+E1032+E1041+E1050+E1059+E1087</f>
        <v>0</v>
      </c>
      <c r="AH1093" s="34">
        <f>F1001+F1009+F1032+F1041+F1050+F1059+F1087</f>
        <v>0</v>
      </c>
      <c r="AI1093" s="34">
        <f t="shared" si="197"/>
        <v>0</v>
      </c>
      <c r="AJ1093" s="34">
        <f>L1001+L1009+L1032+L1041+L1050+L1059+L1087</f>
        <v>0</v>
      </c>
      <c r="AK1093" s="34">
        <f t="shared" si="198"/>
        <v>0</v>
      </c>
      <c r="AL1093" s="34">
        <f>O1001+O1009+O1032+O1041+O1050+O1059+O1087</f>
        <v>70912.209569999992</v>
      </c>
      <c r="AM1093" s="34">
        <f>P1001+P1009+P1032+P1041+P1050+P1059+P1087</f>
        <v>0</v>
      </c>
      <c r="AN1093" s="34">
        <f t="shared" si="199"/>
        <v>70912.209569999992</v>
      </c>
      <c r="AO1093" s="34">
        <f>V1001+V1009+V1032+V1041+V1050+V1059+V1087</f>
        <v>0</v>
      </c>
      <c r="AP1093" s="34">
        <f t="shared" si="200"/>
        <v>70912.209569999992</v>
      </c>
      <c r="AQ1093" s="34">
        <f t="shared" si="201"/>
        <v>70912.209569999992</v>
      </c>
      <c r="AR1093" s="34">
        <f t="shared" si="202"/>
        <v>1047.4944300000061</v>
      </c>
      <c r="AS1093" s="34">
        <f t="shared" si="196"/>
        <v>44.4</v>
      </c>
    </row>
    <row r="1094" spans="1:45" x14ac:dyDescent="0.2">
      <c r="A1094" s="18"/>
      <c r="C1094" s="3" t="s">
        <v>52</v>
      </c>
      <c r="D1094" s="19">
        <f>53104/1000</f>
        <v>53.103999999999999</v>
      </c>
      <c r="E1094" s="19">
        <f>[1]TOBEPAID!E841/1000</f>
        <v>53.103999999999999</v>
      </c>
      <c r="F1094" s="19">
        <f>[1]TOBEPAID!F841/1000</f>
        <v>0</v>
      </c>
      <c r="G1094" s="19">
        <f>[1]TOBEPAID!G841/1000</f>
        <v>0</v>
      </c>
      <c r="H1094" s="19">
        <f>53104/1000</f>
        <v>53.103999999999999</v>
      </c>
      <c r="I1094" s="19">
        <f>[1]TOBEPAID!I841/1000</f>
        <v>0</v>
      </c>
      <c r="J1094" s="19">
        <f>[1]TOBEPAID!J841/1000</f>
        <v>0</v>
      </c>
      <c r="K1094" s="19">
        <f>[1]TOBEPAID!K841/1000</f>
        <v>0</v>
      </c>
      <c r="L1094" s="19">
        <f>[1]TOBEPAID!L841/1000</f>
        <v>0</v>
      </c>
      <c r="M1094" s="19">
        <f>[1]TOBEPAID!M841/1000</f>
        <v>0</v>
      </c>
      <c r="N1094" s="19">
        <f>[1]TOBEPAID!N841/1000</f>
        <v>53.103999999999999</v>
      </c>
      <c r="O1094" s="19">
        <f>[1]TOBEPAID!O841/1000</f>
        <v>0</v>
      </c>
      <c r="P1094" s="19">
        <f>[1]TOBEPAID!P841/1000</f>
        <v>0</v>
      </c>
      <c r="Q1094" s="19">
        <f>[1]TOBEPAID!Q841/1000</f>
        <v>0</v>
      </c>
      <c r="R1094" s="19">
        <v>0</v>
      </c>
      <c r="S1094" s="19">
        <f>[1]TOBEPAID!S841/1000</f>
        <v>0</v>
      </c>
      <c r="T1094" s="19">
        <f>[1]TOBEPAID!T841/1000</f>
        <v>0</v>
      </c>
      <c r="U1094" s="19">
        <f>[1]TOBEPAID!U841/1000</f>
        <v>0</v>
      </c>
      <c r="V1094" s="19">
        <f>[1]TOBEPAID!V841/1000</f>
        <v>0</v>
      </c>
      <c r="W1094" s="19">
        <f>[1]TOBEPAID!W841/1000</f>
        <v>0</v>
      </c>
      <c r="X1094" s="19">
        <f>[1]TOBEPAID!X841/1000</f>
        <v>0</v>
      </c>
      <c r="Y1094" s="19">
        <f>+H1094+R1094</f>
        <v>53.103999999999999</v>
      </c>
      <c r="Z1094" s="19">
        <f>+D1094-Y1094</f>
        <v>0</v>
      </c>
      <c r="AA1094" s="19">
        <f>[1]TOBEPAID!AA841/1000</f>
        <v>53.103999999999999</v>
      </c>
      <c r="AB1094" s="19">
        <f>[1]TOBEPAID!AB841/1000</f>
        <v>0</v>
      </c>
      <c r="AC1094" s="19"/>
      <c r="AD1094" s="19"/>
      <c r="AE1094" s="25" t="s">
        <v>97</v>
      </c>
      <c r="AF1094" s="34">
        <f>D1020+D1031+D1058+D1067+D1097</f>
        <v>44.4</v>
      </c>
      <c r="AG1094" s="34">
        <f>E1020+E1031+E1058+E1067+E1097</f>
        <v>0</v>
      </c>
      <c r="AH1094" s="34">
        <f>F1020+F1031+F1058+F1067+F1097</f>
        <v>0</v>
      </c>
      <c r="AI1094" s="34">
        <f t="shared" si="197"/>
        <v>0</v>
      </c>
      <c r="AJ1094" s="34">
        <f>L1020+L1031+L1058+L1067+L1097</f>
        <v>0</v>
      </c>
      <c r="AK1094" s="34">
        <f t="shared" si="198"/>
        <v>0</v>
      </c>
      <c r="AL1094" s="34">
        <f>O1020+O1031+O1058+O1067+O1097</f>
        <v>0</v>
      </c>
      <c r="AM1094" s="34">
        <f>P1020+P1031+P1058+P1067+P1097</f>
        <v>0</v>
      </c>
      <c r="AN1094" s="34">
        <f t="shared" si="199"/>
        <v>0</v>
      </c>
      <c r="AO1094" s="34">
        <f>V1020+V1031+V1058+V1067+V1097</f>
        <v>0</v>
      </c>
      <c r="AP1094" s="34">
        <f t="shared" si="200"/>
        <v>0</v>
      </c>
      <c r="AQ1094" s="34">
        <f t="shared" si="201"/>
        <v>0</v>
      </c>
      <c r="AR1094" s="34">
        <f t="shared" si="202"/>
        <v>44.4</v>
      </c>
      <c r="AS1094" s="34">
        <f>+AF1097-AK1097-AP1097</f>
        <v>254.999</v>
      </c>
    </row>
    <row r="1095" spans="1:45" x14ac:dyDescent="0.2">
      <c r="A1095" s="18"/>
      <c r="C1095" s="3" t="s">
        <v>63</v>
      </c>
      <c r="D1095" s="19">
        <f>12000000/1000</f>
        <v>12000</v>
      </c>
      <c r="E1095" s="19"/>
      <c r="F1095" s="19"/>
      <c r="G1095" s="19"/>
      <c r="H1095" s="19">
        <f>12000000/1000</f>
        <v>12000</v>
      </c>
      <c r="I1095" s="19"/>
      <c r="J1095" s="19"/>
      <c r="K1095" s="19"/>
      <c r="L1095" s="19"/>
      <c r="M1095" s="19"/>
      <c r="N1095" s="19"/>
      <c r="O1095" s="19"/>
      <c r="P1095" s="19"/>
      <c r="Q1095" s="19"/>
      <c r="R1095" s="19">
        <v>0</v>
      </c>
      <c r="S1095" s="19"/>
      <c r="T1095" s="19"/>
      <c r="U1095" s="19"/>
      <c r="V1095" s="19"/>
      <c r="W1095" s="19"/>
      <c r="X1095" s="19"/>
      <c r="Y1095" s="19">
        <f>+H1095+R1095</f>
        <v>12000</v>
      </c>
      <c r="Z1095" s="19">
        <f>+D1095-Y1095</f>
        <v>0</v>
      </c>
      <c r="AA1095" s="19"/>
      <c r="AB1095" s="19"/>
      <c r="AC1095" s="19"/>
      <c r="AD1095" s="19"/>
      <c r="AE1095" s="25"/>
      <c r="AF1095" s="34"/>
      <c r="AG1095" s="34"/>
      <c r="AH1095" s="34"/>
      <c r="AI1095" s="34"/>
      <c r="AJ1095" s="34"/>
      <c r="AK1095" s="34"/>
      <c r="AL1095" s="34"/>
      <c r="AM1095" s="34"/>
      <c r="AN1095" s="34"/>
      <c r="AO1095" s="34"/>
      <c r="AP1095" s="34"/>
      <c r="AQ1095" s="34"/>
      <c r="AR1095" s="34"/>
      <c r="AS1095" s="34"/>
    </row>
    <row r="1096" spans="1:45" x14ac:dyDescent="0.2">
      <c r="A1096" s="18"/>
      <c r="C1096" s="3" t="s">
        <v>259</v>
      </c>
      <c r="D1096" s="19">
        <f>9253549/1000</f>
        <v>9253.5490000000009</v>
      </c>
      <c r="E1096" s="19"/>
      <c r="F1096" s="19"/>
      <c r="G1096" s="19"/>
      <c r="H1096" s="19">
        <f>9253549/1000</f>
        <v>9253.5490000000009</v>
      </c>
      <c r="I1096" s="19"/>
      <c r="J1096" s="19"/>
      <c r="K1096" s="19"/>
      <c r="L1096" s="19"/>
      <c r="M1096" s="19"/>
      <c r="N1096" s="19"/>
      <c r="O1096" s="19"/>
      <c r="P1096" s="19"/>
      <c r="Q1096" s="19"/>
      <c r="R1096" s="19">
        <v>0</v>
      </c>
      <c r="S1096" s="19"/>
      <c r="T1096" s="19"/>
      <c r="U1096" s="19"/>
      <c r="V1096" s="19"/>
      <c r="W1096" s="19"/>
      <c r="X1096" s="19"/>
      <c r="Y1096" s="19">
        <f>+H1096+R1096</f>
        <v>9253.5490000000009</v>
      </c>
      <c r="Z1096" s="19">
        <f>+D1096-Y1096</f>
        <v>0</v>
      </c>
      <c r="AA1096" s="19"/>
      <c r="AB1096" s="19"/>
      <c r="AC1096" s="19"/>
      <c r="AD1096" s="19"/>
      <c r="AE1096" s="25"/>
      <c r="AF1096" s="34"/>
      <c r="AG1096" s="34"/>
      <c r="AH1096" s="34"/>
      <c r="AI1096" s="34"/>
      <c r="AJ1096" s="34"/>
      <c r="AK1096" s="34"/>
      <c r="AL1096" s="34"/>
      <c r="AM1096" s="34"/>
      <c r="AN1096" s="34"/>
      <c r="AO1096" s="34"/>
      <c r="AP1096" s="34"/>
      <c r="AQ1096" s="34"/>
      <c r="AR1096" s="34"/>
      <c r="AS1096" s="34"/>
    </row>
    <row r="1097" spans="1:45" x14ac:dyDescent="0.2">
      <c r="A1097" s="18"/>
      <c r="C1097" s="3" t="s">
        <v>55</v>
      </c>
      <c r="D1097" s="19">
        <v>0</v>
      </c>
      <c r="E1097" s="19">
        <f>[1]TOBEPAID!E842/1000</f>
        <v>0</v>
      </c>
      <c r="F1097" s="19">
        <f>[1]TOBEPAID!F842/1000</f>
        <v>0</v>
      </c>
      <c r="G1097" s="19">
        <f>[1]TOBEPAID!G842/1000</f>
        <v>0</v>
      </c>
      <c r="H1097" s="19">
        <v>0</v>
      </c>
      <c r="I1097" s="19">
        <f>[1]TOBEPAID!I842/1000</f>
        <v>0</v>
      </c>
      <c r="J1097" s="19">
        <f>[1]TOBEPAID!J842/1000</f>
        <v>0</v>
      </c>
      <c r="K1097" s="19">
        <f>[1]TOBEPAID!K842/1000</f>
        <v>0</v>
      </c>
      <c r="L1097" s="19">
        <f>[1]TOBEPAID!L842/1000</f>
        <v>0</v>
      </c>
      <c r="M1097" s="19">
        <f>[1]TOBEPAID!M842/1000</f>
        <v>0</v>
      </c>
      <c r="N1097" s="19">
        <f>[1]TOBEPAID!N842/1000</f>
        <v>0</v>
      </c>
      <c r="O1097" s="19">
        <f>[1]TOBEPAID!O842/1000</f>
        <v>0</v>
      </c>
      <c r="P1097" s="19">
        <f>[1]TOBEPAID!P842/1000</f>
        <v>0</v>
      </c>
      <c r="Q1097" s="19">
        <f>[1]TOBEPAID!Q842/1000</f>
        <v>0</v>
      </c>
      <c r="R1097" s="19">
        <v>0</v>
      </c>
      <c r="S1097" s="19">
        <f>[1]TOBEPAID!S842/1000</f>
        <v>0</v>
      </c>
      <c r="T1097" s="19">
        <f>[1]TOBEPAID!T842/1000</f>
        <v>0</v>
      </c>
      <c r="U1097" s="19">
        <f>[1]TOBEPAID!U842/1000</f>
        <v>0</v>
      </c>
      <c r="V1097" s="19">
        <f>[1]TOBEPAID!V842/1000</f>
        <v>0</v>
      </c>
      <c r="W1097" s="19">
        <f>[1]TOBEPAID!W842/1000</f>
        <v>0</v>
      </c>
      <c r="X1097" s="19">
        <f>[1]TOBEPAID!X842/1000</f>
        <v>0</v>
      </c>
      <c r="Y1097" s="19">
        <f>+H1097+R1097</f>
        <v>0</v>
      </c>
      <c r="Z1097" s="19">
        <f>+D1097-Y1097</f>
        <v>0</v>
      </c>
      <c r="AA1097" s="19">
        <f>[1]TOBEPAID!AA842/1000</f>
        <v>0</v>
      </c>
      <c r="AB1097" s="19">
        <f>[1]TOBEPAID!AB842/1000</f>
        <v>6124.7</v>
      </c>
      <c r="AC1097" s="19"/>
      <c r="AD1097" s="19"/>
      <c r="AE1097" s="25" t="s">
        <v>55</v>
      </c>
      <c r="AF1097" s="34">
        <f>D1021+D1042</f>
        <v>254.999</v>
      </c>
      <c r="AG1097" s="34">
        <f>E1021+E1042</f>
        <v>0</v>
      </c>
      <c r="AH1097" s="34">
        <f>F1021+F1042</f>
        <v>0</v>
      </c>
      <c r="AI1097" s="34">
        <f t="shared" si="197"/>
        <v>0</v>
      </c>
      <c r="AJ1097" s="34">
        <f>L1021+L1042</f>
        <v>0</v>
      </c>
      <c r="AK1097" s="34">
        <f t="shared" si="198"/>
        <v>0</v>
      </c>
      <c r="AL1097" s="34">
        <f>O1021+O1042</f>
        <v>0</v>
      </c>
      <c r="AM1097" s="34">
        <f>P1021+P1042</f>
        <v>0</v>
      </c>
      <c r="AN1097" s="34">
        <f t="shared" si="199"/>
        <v>0</v>
      </c>
      <c r="AO1097" s="34">
        <f>V1021+V1042</f>
        <v>0</v>
      </c>
      <c r="AP1097" s="34">
        <f t="shared" si="200"/>
        <v>0</v>
      </c>
      <c r="AQ1097" s="34">
        <f t="shared" si="201"/>
        <v>0</v>
      </c>
      <c r="AR1097" s="34">
        <f t="shared" si="202"/>
        <v>254.999</v>
      </c>
      <c r="AS1097" s="34">
        <f t="shared" si="196"/>
        <v>0</v>
      </c>
    </row>
    <row r="1098" spans="1:45" x14ac:dyDescent="0.2">
      <c r="A1098" s="18"/>
      <c r="D1098" s="21" t="s">
        <v>57</v>
      </c>
      <c r="E1098" s="21" t="s">
        <v>57</v>
      </c>
      <c r="F1098" s="21" t="s">
        <v>57</v>
      </c>
      <c r="G1098" s="21"/>
      <c r="H1098" s="21" t="s">
        <v>57</v>
      </c>
      <c r="I1098" s="21" t="s">
        <v>57</v>
      </c>
      <c r="J1098" s="21" t="s">
        <v>57</v>
      </c>
      <c r="K1098" s="21" t="s">
        <v>57</v>
      </c>
      <c r="L1098" s="21" t="s">
        <v>57</v>
      </c>
      <c r="M1098" s="21"/>
      <c r="N1098" s="21" t="s">
        <v>57</v>
      </c>
      <c r="O1098" s="21" t="s">
        <v>57</v>
      </c>
      <c r="P1098" s="21" t="s">
        <v>57</v>
      </c>
      <c r="Q1098" s="21"/>
      <c r="R1098" s="21" t="s">
        <v>57</v>
      </c>
      <c r="S1098" s="21" t="s">
        <v>57</v>
      </c>
      <c r="T1098" s="21" t="s">
        <v>57</v>
      </c>
      <c r="U1098" s="21" t="s">
        <v>57</v>
      </c>
      <c r="V1098" s="21" t="s">
        <v>57</v>
      </c>
      <c r="W1098" s="21"/>
      <c r="X1098" s="21" t="s">
        <v>57</v>
      </c>
      <c r="Y1098" s="21" t="s">
        <v>57</v>
      </c>
      <c r="Z1098" s="21" t="s">
        <v>57</v>
      </c>
      <c r="AA1098" s="21" t="s">
        <v>57</v>
      </c>
      <c r="AB1098" s="21" t="s">
        <v>57</v>
      </c>
      <c r="AC1098" s="21"/>
      <c r="AD1098" s="21"/>
      <c r="AE1098" s="25" t="s">
        <v>120</v>
      </c>
      <c r="AF1098" s="34">
        <f>+D1066</f>
        <v>0</v>
      </c>
      <c r="AG1098" s="34">
        <f>+E1066</f>
        <v>0</v>
      </c>
      <c r="AH1098" s="34">
        <f>+F1066</f>
        <v>0</v>
      </c>
      <c r="AI1098" s="34">
        <f t="shared" si="197"/>
        <v>0</v>
      </c>
      <c r="AJ1098" s="34">
        <f>+L1066</f>
        <v>0</v>
      </c>
      <c r="AK1098" s="34">
        <f t="shared" si="198"/>
        <v>0</v>
      </c>
      <c r="AL1098" s="34">
        <f>+O1066</f>
        <v>0</v>
      </c>
      <c r="AM1098" s="34">
        <f>+P1066</f>
        <v>0</v>
      </c>
      <c r="AN1098" s="34">
        <f t="shared" si="199"/>
        <v>0</v>
      </c>
      <c r="AO1098" s="34">
        <f>+V1066</f>
        <v>0</v>
      </c>
      <c r="AP1098" s="34">
        <f t="shared" si="200"/>
        <v>0</v>
      </c>
      <c r="AQ1098" s="34">
        <f t="shared" si="201"/>
        <v>0</v>
      </c>
      <c r="AR1098" s="34">
        <f t="shared" si="202"/>
        <v>0</v>
      </c>
      <c r="AS1098" s="34">
        <f t="shared" si="196"/>
        <v>0</v>
      </c>
    </row>
    <row r="1099" spans="1:45" x14ac:dyDescent="0.2">
      <c r="A1099" s="18"/>
      <c r="D1099" s="30">
        <f>SUM(D1093:D1097)</f>
        <v>50842.706999999995</v>
      </c>
      <c r="E1099" s="30">
        <f>SUM(E1093:E1097)</f>
        <v>53.103999999999999</v>
      </c>
      <c r="F1099" s="30">
        <f>SUM(F1093:F1097)</f>
        <v>0</v>
      </c>
      <c r="G1099" s="30"/>
      <c r="H1099" s="30">
        <f>SUM(H1093:H1097)</f>
        <v>44706.652999999998</v>
      </c>
      <c r="I1099" s="30">
        <f>SUM(I1093:I1097)</f>
        <v>0</v>
      </c>
      <c r="J1099" s="30">
        <f>SUM(J1093:J1097)</f>
        <v>0</v>
      </c>
      <c r="K1099" s="30">
        <f>SUM(K1093:K1097)</f>
        <v>0</v>
      </c>
      <c r="L1099" s="30">
        <f>SUM(L1093:L1097)</f>
        <v>0</v>
      </c>
      <c r="M1099" s="30"/>
      <c r="N1099" s="30">
        <f>SUM(N1093:N1097)</f>
        <v>53.103999999999999</v>
      </c>
      <c r="O1099" s="30">
        <f>SUM(O1093:O1097)</f>
        <v>0</v>
      </c>
      <c r="P1099" s="30">
        <f>SUM(P1093:P1097)</f>
        <v>0</v>
      </c>
      <c r="Q1099" s="30"/>
      <c r="R1099" s="30">
        <f>SUM(R1093:R1097)</f>
        <v>0</v>
      </c>
      <c r="S1099" s="30">
        <f>SUM(S1093:S1097)</f>
        <v>0</v>
      </c>
      <c r="T1099" s="30">
        <f>SUM(T1093:T1097)</f>
        <v>0</v>
      </c>
      <c r="U1099" s="30">
        <f>SUM(U1093:U1097)</f>
        <v>0</v>
      </c>
      <c r="V1099" s="30">
        <f>SUM(V1093:V1097)</f>
        <v>0</v>
      </c>
      <c r="W1099" s="30"/>
      <c r="X1099" s="30">
        <f>SUM(X1093:X1097)</f>
        <v>0</v>
      </c>
      <c r="Y1099" s="30">
        <f>SUM(Y1093:Y1097)</f>
        <v>44706.652999999998</v>
      </c>
      <c r="Z1099" s="30">
        <f>SUM(Z1093:Z1097)</f>
        <v>6136.0540000000001</v>
      </c>
      <c r="AA1099" s="30">
        <f>SUM(AA1093:AA1097)</f>
        <v>53.103999999999999</v>
      </c>
      <c r="AB1099" s="30">
        <f>SUM(AB1093:AB1097)</f>
        <v>29536.054460000003</v>
      </c>
      <c r="AC1099" s="30"/>
      <c r="AD1099" s="30"/>
      <c r="AE1099" s="25" t="s">
        <v>276</v>
      </c>
      <c r="AF1099" s="34">
        <f>+D1079</f>
        <v>1300</v>
      </c>
      <c r="AG1099" s="34">
        <f>+E1079</f>
        <v>1300</v>
      </c>
      <c r="AH1099" s="34">
        <f>+F1079</f>
        <v>0</v>
      </c>
      <c r="AI1099" s="34">
        <f t="shared" si="197"/>
        <v>1300</v>
      </c>
      <c r="AJ1099" s="34">
        <f>+L1079</f>
        <v>0</v>
      </c>
      <c r="AK1099" s="34">
        <f t="shared" si="198"/>
        <v>1300</v>
      </c>
      <c r="AL1099" s="34">
        <f>+O1079</f>
        <v>0</v>
      </c>
      <c r="AM1099" s="34">
        <f>+P1079</f>
        <v>0</v>
      </c>
      <c r="AN1099" s="34">
        <f t="shared" si="199"/>
        <v>0</v>
      </c>
      <c r="AO1099" s="34">
        <f>+V1079</f>
        <v>0</v>
      </c>
      <c r="AP1099" s="34">
        <f t="shared" si="200"/>
        <v>0</v>
      </c>
      <c r="AQ1099" s="34">
        <f t="shared" si="201"/>
        <v>1300</v>
      </c>
      <c r="AR1099" s="34">
        <f t="shared" si="202"/>
        <v>0</v>
      </c>
      <c r="AS1099" s="34">
        <f>SUM(AS1088:AS1098)</f>
        <v>456865.77444000007</v>
      </c>
    </row>
    <row r="1100" spans="1:45" x14ac:dyDescent="0.2">
      <c r="A1100" s="18" t="s">
        <v>131</v>
      </c>
      <c r="B1100" s="41" t="s">
        <v>121</v>
      </c>
      <c r="D1100" s="21" t="s">
        <v>57</v>
      </c>
      <c r="E1100" s="21" t="s">
        <v>57</v>
      </c>
      <c r="F1100" s="21" t="s">
        <v>57</v>
      </c>
      <c r="G1100" s="21"/>
      <c r="H1100" s="21" t="s">
        <v>57</v>
      </c>
      <c r="I1100" s="21" t="s">
        <v>57</v>
      </c>
      <c r="J1100" s="21" t="s">
        <v>57</v>
      </c>
      <c r="K1100" s="21" t="s">
        <v>57</v>
      </c>
      <c r="L1100" s="21" t="s">
        <v>57</v>
      </c>
      <c r="M1100" s="21"/>
      <c r="N1100" s="21" t="s">
        <v>57</v>
      </c>
      <c r="O1100" s="21" t="s">
        <v>57</v>
      </c>
      <c r="P1100" s="21" t="s">
        <v>57</v>
      </c>
      <c r="Q1100" s="21"/>
      <c r="R1100" s="21" t="s">
        <v>57</v>
      </c>
      <c r="S1100" s="21" t="s">
        <v>57</v>
      </c>
      <c r="T1100" s="21" t="s">
        <v>57</v>
      </c>
      <c r="U1100" s="21" t="s">
        <v>57</v>
      </c>
      <c r="V1100" s="21" t="s">
        <v>57</v>
      </c>
      <c r="W1100" s="21"/>
      <c r="X1100" s="21" t="s">
        <v>57</v>
      </c>
      <c r="Y1100" s="21" t="s">
        <v>57</v>
      </c>
      <c r="Z1100" s="21" t="s">
        <v>57</v>
      </c>
      <c r="AA1100" s="21" t="s">
        <v>57</v>
      </c>
      <c r="AB1100" s="21" t="s">
        <v>57</v>
      </c>
      <c r="AC1100" s="21"/>
      <c r="AD1100" s="21"/>
      <c r="AE1100" s="25" t="s">
        <v>319</v>
      </c>
      <c r="AF1100" s="34">
        <f t="shared" ref="AF1100:AR1100" si="203">SUM(AF1089:AF1099)</f>
        <v>744264.42855999991</v>
      </c>
      <c r="AG1100" s="34">
        <f t="shared" si="203"/>
        <v>150757.49505999999</v>
      </c>
      <c r="AH1100" s="34">
        <f t="shared" si="203"/>
        <v>17000</v>
      </c>
      <c r="AI1100" s="34">
        <f t="shared" si="203"/>
        <v>167757.49506000002</v>
      </c>
      <c r="AJ1100" s="34">
        <f t="shared" si="203"/>
        <v>0</v>
      </c>
      <c r="AK1100" s="34">
        <f t="shared" si="203"/>
        <v>167757.49506000002</v>
      </c>
      <c r="AL1100" s="34">
        <f t="shared" si="203"/>
        <v>119641.15905999998</v>
      </c>
      <c r="AM1100" s="34">
        <f t="shared" si="203"/>
        <v>0</v>
      </c>
      <c r="AN1100" s="34">
        <f t="shared" si="203"/>
        <v>119641.15905999998</v>
      </c>
      <c r="AO1100" s="34">
        <f t="shared" si="203"/>
        <v>0</v>
      </c>
      <c r="AP1100" s="34">
        <f t="shared" si="203"/>
        <v>119641.15905999998</v>
      </c>
      <c r="AQ1100" s="34">
        <f t="shared" si="203"/>
        <v>287398.65411999996</v>
      </c>
      <c r="AR1100" s="34">
        <f t="shared" si="203"/>
        <v>456865.77444000007</v>
      </c>
    </row>
    <row r="1101" spans="1:45" x14ac:dyDescent="0.2">
      <c r="A1101" s="18"/>
      <c r="C1101" s="41" t="s">
        <v>298</v>
      </c>
      <c r="D1101" s="30">
        <f>D1003+D1011+D1023+D1034+D1044+D1052+D1061+D1069+D1081+D1089+D1099</f>
        <v>914097.30055999989</v>
      </c>
      <c r="E1101" s="30">
        <f>E1003+E1011+E1023+E1034+E1044+E1052+E1061+E1069+E1081+E1089+E1099</f>
        <v>150757.49505999999</v>
      </c>
      <c r="F1101" s="30">
        <f>F1003+F1011+F1023+F1034+F1044+F1052+F1061+F1069+F1081+F1089+F1099</f>
        <v>17000</v>
      </c>
      <c r="G1101" s="30"/>
      <c r="H1101" s="30">
        <f>H1003+H1011+H1023+H1034+H1044+H1052+H1061+H1069+H1081+H1089+H1099</f>
        <v>687776.25803000014</v>
      </c>
      <c r="I1101" s="30">
        <f>I1003+I1011+I1023+I1034+I1044+I1052+I1061+I1069+I1081+I1089+I1099</f>
        <v>0</v>
      </c>
      <c r="J1101" s="30">
        <f>J1003+J1011+J1023+J1034+J1044+J1052+J1061+J1069+J1081+J1089+J1099</f>
        <v>0</v>
      </c>
      <c r="K1101" s="30">
        <f>K1003+K1011+K1023+K1034+K1044+K1052+K1061+K1069+K1081+K1089+K1099</f>
        <v>0</v>
      </c>
      <c r="L1101" s="30">
        <f>L1003+L1011+L1023+L1034+L1044+L1052+L1061+L1069+L1081+L1089+L1099</f>
        <v>0</v>
      </c>
      <c r="M1101" s="30"/>
      <c r="N1101" s="30">
        <f>N1003+N1011+N1023+N1034+N1044+N1052+N1061+N1069+N1081+N1089+N1099</f>
        <v>167757.49505999999</v>
      </c>
      <c r="O1101" s="30">
        <f>O1003+O1011+O1023+O1034+O1044+O1052+O1061+O1069+O1081+O1089+O1099</f>
        <v>119641.15905999999</v>
      </c>
      <c r="P1101" s="30">
        <f>P1003+P1011+P1023+P1034+P1044+P1052+P1061+P1069+P1081+P1089+P1099</f>
        <v>0</v>
      </c>
      <c r="Q1101" s="30"/>
      <c r="R1101" s="30">
        <f>R1003+R1011+R1023+R1034+R1044+R1052+R1061+R1069+R1081+R1089+R1099</f>
        <v>120048.58668000001</v>
      </c>
      <c r="S1101" s="30">
        <f>S1003+S1011+S1023+S1034+S1044+S1052+S1061+S1069+S1081+S1089+S1099</f>
        <v>0</v>
      </c>
      <c r="T1101" s="30">
        <f>T1003+T1011+T1023+T1034+T1044+T1052+T1061+T1069+T1081+T1089+T1099</f>
        <v>0</v>
      </c>
      <c r="U1101" s="30">
        <f>U1003+U1011+U1023+U1034+U1044+U1052+U1061+U1069+U1081+U1089+U1099</f>
        <v>0</v>
      </c>
      <c r="V1101" s="30">
        <f>V1003+V1011+V1023+V1034+V1044+V1052+V1061+V1069+V1081+V1089+V1099</f>
        <v>0</v>
      </c>
      <c r="W1101" s="30"/>
      <c r="X1101" s="30">
        <f>X1003+X1011+X1023+X1034+X1044+X1052+X1061+X1069+X1081+X1089+X1099</f>
        <v>119641.15905999999</v>
      </c>
      <c r="Y1101" s="30">
        <f>Y1003+Y1011+Y1023+Y1034+Y1044+Y1052+Y1061+Y1069+Y1081+Y1089+Y1099</f>
        <v>807824.84470999998</v>
      </c>
      <c r="Z1101" s="30">
        <f>Z1003+Z1011+Z1023+Z1034+Z1044+Z1052+Z1061+Z1069+Z1081+Z1089+Z1099</f>
        <v>106272.45585000003</v>
      </c>
      <c r="AA1101" s="30">
        <f>AA1003+AA1011+AA1023+AA1034+AA1044+AA1052+AA1061+AA1069+AA1081+AA1089+AA1099</f>
        <v>287398.65411999996</v>
      </c>
      <c r="AB1101" s="30">
        <f>AB1003+AB1011+AB1023+AB1034+AB1044+AB1052+AB1061+AB1069+AB1081+AB1089+AB1099</f>
        <v>174965.78299000004</v>
      </c>
      <c r="AC1101" s="30"/>
      <c r="AD1101" s="30"/>
    </row>
    <row r="1102" spans="1:45" x14ac:dyDescent="0.2">
      <c r="A1102" s="18"/>
      <c r="D1102" s="21" t="s">
        <v>93</v>
      </c>
      <c r="E1102" s="21" t="s">
        <v>93</v>
      </c>
      <c r="F1102" s="21" t="s">
        <v>93</v>
      </c>
      <c r="G1102" s="21"/>
      <c r="H1102" s="21" t="s">
        <v>93</v>
      </c>
      <c r="I1102" s="21" t="s">
        <v>93</v>
      </c>
      <c r="J1102" s="21" t="s">
        <v>93</v>
      </c>
      <c r="K1102" s="21" t="s">
        <v>93</v>
      </c>
      <c r="L1102" s="21" t="s">
        <v>93</v>
      </c>
      <c r="M1102" s="21"/>
      <c r="N1102" s="21" t="s">
        <v>93</v>
      </c>
      <c r="O1102" s="21" t="s">
        <v>93</v>
      </c>
      <c r="P1102" s="21" t="s">
        <v>93</v>
      </c>
      <c r="Q1102" s="21"/>
      <c r="R1102" s="21" t="s">
        <v>93</v>
      </c>
      <c r="S1102" s="21" t="s">
        <v>93</v>
      </c>
      <c r="T1102" s="21" t="s">
        <v>93</v>
      </c>
      <c r="U1102" s="21" t="s">
        <v>93</v>
      </c>
      <c r="V1102" s="21" t="s">
        <v>93</v>
      </c>
      <c r="W1102" s="21"/>
      <c r="X1102" s="21" t="s">
        <v>93</v>
      </c>
      <c r="Y1102" s="21" t="s">
        <v>93</v>
      </c>
      <c r="Z1102" s="21" t="s">
        <v>93</v>
      </c>
      <c r="AA1102" s="21" t="s">
        <v>93</v>
      </c>
      <c r="AB1102" s="21" t="s">
        <v>93</v>
      </c>
      <c r="AC1102" s="21"/>
      <c r="AD1102" s="21"/>
    </row>
    <row r="1103" spans="1:45" x14ac:dyDescent="0.2">
      <c r="A1103" s="18"/>
      <c r="C1103" s="25"/>
      <c r="D1103" s="30"/>
      <c r="E1103" s="30"/>
      <c r="F1103" s="30"/>
      <c r="G1103" s="30"/>
      <c r="H1103" s="30"/>
      <c r="I1103" s="30"/>
      <c r="J1103" s="30"/>
      <c r="K1103" s="30"/>
      <c r="L1103" s="30"/>
      <c r="M1103" s="30"/>
      <c r="N1103" s="30"/>
      <c r="O1103" s="30"/>
      <c r="P1103" s="30"/>
      <c r="Q1103" s="30"/>
      <c r="R1103" s="30"/>
      <c r="S1103" s="30"/>
      <c r="T1103" s="30"/>
      <c r="U1103" s="30"/>
      <c r="V1103" s="30"/>
      <c r="W1103" s="30"/>
      <c r="X1103" s="30"/>
      <c r="Y1103" s="30"/>
      <c r="Z1103" s="30"/>
      <c r="AA1103" s="30"/>
      <c r="AB1103" s="30"/>
      <c r="AC1103" s="30"/>
      <c r="AD1103" s="30"/>
    </row>
    <row r="1104" spans="1:45" x14ac:dyDescent="0.2">
      <c r="D1104" s="30"/>
      <c r="E1104" s="30"/>
      <c r="F1104" s="30"/>
      <c r="G1104" s="30"/>
      <c r="H1104" s="30"/>
      <c r="I1104" s="30"/>
      <c r="J1104" s="30"/>
      <c r="K1104" s="30"/>
      <c r="L1104" s="30"/>
      <c r="M1104" s="30"/>
      <c r="N1104" s="30"/>
      <c r="O1104" s="30"/>
      <c r="P1104" s="30"/>
      <c r="Q1104" s="30"/>
      <c r="R1104" s="30"/>
      <c r="S1104" s="30"/>
      <c r="T1104" s="30"/>
      <c r="U1104" s="30"/>
      <c r="V1104" s="30"/>
      <c r="W1104" s="30"/>
      <c r="X1104" s="30"/>
      <c r="Y1104" s="30"/>
      <c r="Z1104" s="30"/>
      <c r="AA1104" s="30"/>
      <c r="AB1104" s="30"/>
      <c r="AC1104" s="30"/>
      <c r="AD1104" s="30"/>
    </row>
    <row r="1105" spans="1:30" x14ac:dyDescent="0.2">
      <c r="A1105" s="18"/>
      <c r="B1105" s="17" t="s">
        <v>320</v>
      </c>
      <c r="D1105" s="30"/>
      <c r="E1105" s="30"/>
      <c r="F1105" s="30"/>
      <c r="G1105" s="30"/>
      <c r="H1105" s="30"/>
      <c r="I1105" s="30"/>
      <c r="J1105" s="30"/>
      <c r="K1105" s="30"/>
      <c r="L1105" s="30"/>
      <c r="M1105" s="30"/>
      <c r="N1105" s="30"/>
      <c r="O1105" s="30"/>
      <c r="P1105" s="30"/>
      <c r="Q1105" s="30"/>
      <c r="R1105" s="30"/>
      <c r="S1105" s="30"/>
      <c r="T1105" s="30"/>
      <c r="U1105" s="30"/>
      <c r="V1105" s="30"/>
      <c r="W1105" s="30"/>
      <c r="X1105" s="30"/>
      <c r="Y1105" s="30"/>
      <c r="Z1105" s="30"/>
      <c r="AA1105" s="30"/>
      <c r="AB1105" s="30"/>
      <c r="AC1105" s="30"/>
      <c r="AD1105" s="30"/>
    </row>
    <row r="1106" spans="1:30" x14ac:dyDescent="0.2">
      <c r="A1106" s="18"/>
      <c r="B1106" s="17"/>
      <c r="D1106" s="30"/>
      <c r="E1106" s="30"/>
      <c r="F1106" s="30"/>
      <c r="G1106" s="30"/>
      <c r="H1106" s="30"/>
      <c r="I1106" s="30"/>
      <c r="J1106" s="30"/>
      <c r="K1106" s="30"/>
      <c r="L1106" s="30"/>
      <c r="M1106" s="30"/>
      <c r="N1106" s="30"/>
      <c r="O1106" s="30"/>
      <c r="P1106" s="30"/>
      <c r="Q1106" s="30"/>
      <c r="R1106" s="30"/>
      <c r="S1106" s="30"/>
      <c r="T1106" s="30"/>
      <c r="U1106" s="30"/>
      <c r="V1106" s="30"/>
      <c r="W1106" s="30"/>
      <c r="X1106" s="30"/>
      <c r="Y1106" s="30"/>
      <c r="Z1106" s="30"/>
      <c r="AA1106" s="30"/>
      <c r="AB1106" s="30"/>
      <c r="AC1106" s="30"/>
      <c r="AD1106" s="30"/>
    </row>
    <row r="1107" spans="1:30" x14ac:dyDescent="0.2">
      <c r="A1107" s="18">
        <v>87</v>
      </c>
      <c r="B1107" s="17" t="s">
        <v>321</v>
      </c>
      <c r="C1107" s="17" t="s">
        <v>51</v>
      </c>
      <c r="D1107" s="19">
        <f>79155797/1000</f>
        <v>79155.797000000006</v>
      </c>
      <c r="E1107" s="19">
        <f>[1]TOBEPAID!E852/1000</f>
        <v>0</v>
      </c>
      <c r="F1107" s="19">
        <f>[1]TOBEPAID!F852/1000</f>
        <v>0</v>
      </c>
      <c r="G1107" s="19">
        <f>[1]TOBEPAID!G852/1000</f>
        <v>0</v>
      </c>
      <c r="H1107" s="19">
        <f>79111592/1000</f>
        <v>79111.592000000004</v>
      </c>
      <c r="I1107" s="19">
        <f>[1]TOBEPAID!I852/1000</f>
        <v>0</v>
      </c>
      <c r="J1107" s="19">
        <f>[1]TOBEPAID!J852/1000</f>
        <v>0</v>
      </c>
      <c r="K1107" s="19">
        <f>[1]TOBEPAID!K852/1000</f>
        <v>0</v>
      </c>
      <c r="L1107" s="19">
        <f>[1]TOBEPAID!L852/1000</f>
        <v>0</v>
      </c>
      <c r="M1107" s="19">
        <f>[1]TOBEPAID!M852/1000</f>
        <v>0</v>
      </c>
      <c r="N1107" s="19">
        <f>[1]TOBEPAID!N852/1000</f>
        <v>0</v>
      </c>
      <c r="O1107" s="19">
        <f>[1]TOBEPAID!O852/1000</f>
        <v>0</v>
      </c>
      <c r="P1107" s="19">
        <f>[1]TOBEPAID!P852/1000</f>
        <v>0</v>
      </c>
      <c r="Q1107" s="19">
        <f>[1]TOBEPAID!Q852/1000</f>
        <v>0</v>
      </c>
      <c r="R1107" s="19">
        <v>0</v>
      </c>
      <c r="S1107" s="19">
        <f>[1]TOBEPAID!S852/1000</f>
        <v>0</v>
      </c>
      <c r="T1107" s="19">
        <f>[1]TOBEPAID!T852/1000</f>
        <v>0</v>
      </c>
      <c r="U1107" s="19">
        <f>[1]TOBEPAID!U852/1000</f>
        <v>0</v>
      </c>
      <c r="V1107" s="19">
        <f>[1]TOBEPAID!V852/1000</f>
        <v>0</v>
      </c>
      <c r="W1107" s="19">
        <f>[1]TOBEPAID!W852/1000</f>
        <v>0</v>
      </c>
      <c r="X1107" s="19">
        <f>[1]TOBEPAID!X852/1000</f>
        <v>0</v>
      </c>
      <c r="Y1107" s="19">
        <f>+H1107+R1107</f>
        <v>79111.592000000004</v>
      </c>
      <c r="Z1107" s="19">
        <f t="shared" ref="Z1107:Z1114" si="204">+D1107-Y1107</f>
        <v>44.205000000001746</v>
      </c>
      <c r="AA1107" s="19">
        <f>[1]TOBEPAID!AA852/1000</f>
        <v>0</v>
      </c>
      <c r="AB1107" s="19">
        <f>[1]TOBEPAID!AB852/1000</f>
        <v>51304.065710000003</v>
      </c>
      <c r="AC1107" s="19"/>
      <c r="AD1107" s="19"/>
    </row>
    <row r="1108" spans="1:30" x14ac:dyDescent="0.2">
      <c r="A1108" s="18"/>
      <c r="C1108" s="20" t="s">
        <v>52</v>
      </c>
      <c r="D1108" s="19">
        <f>2794439/1000</f>
        <v>2794.4389999999999</v>
      </c>
      <c r="E1108" s="19">
        <f>[1]TOBEPAID!E853/1000</f>
        <v>2794.4396900000002</v>
      </c>
      <c r="F1108" s="19">
        <f>[1]TOBEPAID!F853/1000</f>
        <v>0</v>
      </c>
      <c r="G1108" s="19">
        <f>[1]TOBEPAID!G853/1000</f>
        <v>0</v>
      </c>
      <c r="H1108" s="19">
        <f>2794439/1000</f>
        <v>2794.4389999999999</v>
      </c>
      <c r="I1108" s="19">
        <f>[1]TOBEPAID!I853/1000</f>
        <v>0</v>
      </c>
      <c r="J1108" s="19">
        <f>[1]TOBEPAID!J853/1000</f>
        <v>0</v>
      </c>
      <c r="K1108" s="19">
        <f>[1]TOBEPAID!K853/1000</f>
        <v>0</v>
      </c>
      <c r="L1108" s="19">
        <f>[1]TOBEPAID!L853/1000</f>
        <v>0</v>
      </c>
      <c r="M1108" s="19">
        <f>[1]TOBEPAID!M853/1000</f>
        <v>0</v>
      </c>
      <c r="N1108" s="19">
        <f>[1]TOBEPAID!N853/1000</f>
        <v>2794.4396900000002</v>
      </c>
      <c r="O1108" s="19">
        <f>[1]TOBEPAID!O853/1000</f>
        <v>0</v>
      </c>
      <c r="P1108" s="19">
        <f>[1]TOBEPAID!P853/1000</f>
        <v>0</v>
      </c>
      <c r="Q1108" s="19">
        <f>[1]TOBEPAID!Q853/1000</f>
        <v>0</v>
      </c>
      <c r="R1108" s="19">
        <v>0</v>
      </c>
      <c r="S1108" s="19">
        <f>[1]TOBEPAID!S853/1000</f>
        <v>0</v>
      </c>
      <c r="T1108" s="19">
        <f>[1]TOBEPAID!T853/1000</f>
        <v>0</v>
      </c>
      <c r="U1108" s="19">
        <f>[1]TOBEPAID!U853/1000</f>
        <v>0</v>
      </c>
      <c r="V1108" s="19">
        <f>[1]TOBEPAID!V853/1000</f>
        <v>0</v>
      </c>
      <c r="W1108" s="19">
        <f>[1]TOBEPAID!W853/1000</f>
        <v>0</v>
      </c>
      <c r="X1108" s="19">
        <f>[1]TOBEPAID!X853/1000</f>
        <v>0</v>
      </c>
      <c r="Y1108" s="19">
        <f t="shared" ref="Y1108:Y1114" si="205">+H1108+R1108</f>
        <v>2794.4389999999999</v>
      </c>
      <c r="Z1108" s="19">
        <f t="shared" si="204"/>
        <v>0</v>
      </c>
      <c r="AA1108" s="19">
        <f>[1]TOBEPAID!AA853/1000</f>
        <v>2794.4396900000002</v>
      </c>
      <c r="AB1108" s="19">
        <f>[1]TOBEPAID!AB853/1000</f>
        <v>0</v>
      </c>
      <c r="AC1108" s="19"/>
      <c r="AD1108" s="19"/>
    </row>
    <row r="1109" spans="1:30" x14ac:dyDescent="0.2">
      <c r="A1109" s="18"/>
      <c r="C1109" s="20" t="s">
        <v>322</v>
      </c>
      <c r="D1109" s="19">
        <v>0</v>
      </c>
      <c r="E1109" s="19">
        <f>[1]TOBEPAID!E854/1000</f>
        <v>0</v>
      </c>
      <c r="F1109" s="19">
        <f>[1]TOBEPAID!F854/1000</f>
        <v>0</v>
      </c>
      <c r="G1109" s="19">
        <f>[1]TOBEPAID!G854/1000</f>
        <v>0</v>
      </c>
      <c r="H1109" s="19">
        <v>0</v>
      </c>
      <c r="I1109" s="19">
        <f>[1]TOBEPAID!I854/1000</f>
        <v>0</v>
      </c>
      <c r="J1109" s="19">
        <f>[1]TOBEPAID!J854/1000</f>
        <v>0</v>
      </c>
      <c r="K1109" s="19">
        <f>[1]TOBEPAID!K854/1000</f>
        <v>0</v>
      </c>
      <c r="L1109" s="19">
        <f>[1]TOBEPAID!L854/1000</f>
        <v>0</v>
      </c>
      <c r="M1109" s="19">
        <f>[1]TOBEPAID!M854/1000</f>
        <v>0</v>
      </c>
      <c r="N1109" s="19">
        <f>[1]TOBEPAID!N854/1000</f>
        <v>0</v>
      </c>
      <c r="O1109" s="19">
        <f>[1]TOBEPAID!O854/1000</f>
        <v>0</v>
      </c>
      <c r="P1109" s="19">
        <f>[1]TOBEPAID!P854/1000</f>
        <v>0</v>
      </c>
      <c r="Q1109" s="19">
        <f>[1]TOBEPAID!Q854/1000</f>
        <v>0</v>
      </c>
      <c r="R1109" s="19">
        <v>0</v>
      </c>
      <c r="S1109" s="19">
        <f>[1]TOBEPAID!S854/1000</f>
        <v>0</v>
      </c>
      <c r="T1109" s="19">
        <f>[1]TOBEPAID!T854/1000</f>
        <v>0</v>
      </c>
      <c r="U1109" s="19">
        <f>[1]TOBEPAID!U854/1000</f>
        <v>0</v>
      </c>
      <c r="V1109" s="19">
        <f>[1]TOBEPAID!V854/1000</f>
        <v>0</v>
      </c>
      <c r="W1109" s="19">
        <f>[1]TOBEPAID!W854/1000</f>
        <v>0</v>
      </c>
      <c r="X1109" s="19">
        <f>[1]TOBEPAID!X854/1000</f>
        <v>0</v>
      </c>
      <c r="Y1109" s="19">
        <f t="shared" si="205"/>
        <v>0</v>
      </c>
      <c r="Z1109" s="19">
        <f t="shared" si="204"/>
        <v>0</v>
      </c>
      <c r="AA1109" s="19">
        <f>[1]TOBEPAID!AA854/1000</f>
        <v>0</v>
      </c>
      <c r="AB1109" s="19">
        <f>[1]TOBEPAID!AB854/1000</f>
        <v>0</v>
      </c>
      <c r="AC1109" s="19"/>
      <c r="AD1109" s="19"/>
    </row>
    <row r="1110" spans="1:30" x14ac:dyDescent="0.2">
      <c r="C1110" s="3" t="s">
        <v>67</v>
      </c>
      <c r="D1110" s="19">
        <f>2113239409/1000</f>
        <v>2113239.409</v>
      </c>
      <c r="E1110" s="19">
        <f>[1]TOBEPAID!E855/1000</f>
        <v>120000</v>
      </c>
      <c r="F1110" s="19">
        <f>[1]TOBEPAID!F855/1000</f>
        <v>30000</v>
      </c>
      <c r="G1110" s="19">
        <f>[1]TOBEPAID!G855/1000</f>
        <v>0</v>
      </c>
      <c r="H1110" s="19">
        <f>2113239409/1000</f>
        <v>2113239.409</v>
      </c>
      <c r="I1110" s="19">
        <f>[1]TOBEPAID!I855/1000</f>
        <v>0</v>
      </c>
      <c r="J1110" s="19">
        <f>[1]TOBEPAID!J855/1000</f>
        <v>0</v>
      </c>
      <c r="K1110" s="19">
        <f>[1]TOBEPAID!K855/1000</f>
        <v>0</v>
      </c>
      <c r="L1110" s="19">
        <f>[1]TOBEPAID!L855/1000</f>
        <v>0</v>
      </c>
      <c r="M1110" s="19">
        <f>[1]TOBEPAID!M855/1000</f>
        <v>0</v>
      </c>
      <c r="N1110" s="19">
        <f>[1]TOBEPAID!N855/1000</f>
        <v>150000</v>
      </c>
      <c r="O1110" s="19">
        <f>[1]TOBEPAID!O855/1000</f>
        <v>0</v>
      </c>
      <c r="P1110" s="19">
        <f>[1]TOBEPAID!P855/1000</f>
        <v>0</v>
      </c>
      <c r="Q1110" s="19">
        <f>[1]TOBEPAID!Q855/1000</f>
        <v>0</v>
      </c>
      <c r="R1110" s="19">
        <v>0</v>
      </c>
      <c r="S1110" s="19">
        <f>[1]TOBEPAID!S855/1000</f>
        <v>0</v>
      </c>
      <c r="T1110" s="19">
        <f>[1]TOBEPAID!T855/1000</f>
        <v>0</v>
      </c>
      <c r="U1110" s="19">
        <f>[1]TOBEPAID!U855/1000</f>
        <v>0</v>
      </c>
      <c r="V1110" s="19">
        <f>[1]TOBEPAID!V855/1000</f>
        <v>0</v>
      </c>
      <c r="W1110" s="19">
        <f>[1]TOBEPAID!W855/1000</f>
        <v>0</v>
      </c>
      <c r="X1110" s="19">
        <f>[1]TOBEPAID!X855/1000</f>
        <v>0</v>
      </c>
      <c r="Y1110" s="19">
        <f t="shared" si="205"/>
        <v>2113239.409</v>
      </c>
      <c r="Z1110" s="19">
        <f t="shared" si="204"/>
        <v>0</v>
      </c>
      <c r="AA1110" s="19">
        <f>[1]TOBEPAID!AA855/1000</f>
        <v>150000</v>
      </c>
      <c r="AB1110" s="19">
        <f>[1]TOBEPAID!AB855/1000</f>
        <v>0</v>
      </c>
      <c r="AC1110" s="19"/>
      <c r="AD1110" s="19"/>
    </row>
    <row r="1111" spans="1:30" x14ac:dyDescent="0.2">
      <c r="C1111" s="3" t="s">
        <v>264</v>
      </c>
      <c r="D1111" s="19">
        <f>2722681/1000</f>
        <v>2722.681</v>
      </c>
      <c r="E1111" s="19">
        <f>[1]TOBEPAID!E856/1000</f>
        <v>2722.6815000000001</v>
      </c>
      <c r="F1111" s="19">
        <f>[1]TOBEPAID!F856/1000</f>
        <v>0</v>
      </c>
      <c r="G1111" s="19">
        <f>[1]TOBEPAID!G856/1000</f>
        <v>0</v>
      </c>
      <c r="H1111" s="19">
        <f>2722681/1000</f>
        <v>2722.681</v>
      </c>
      <c r="I1111" s="19">
        <f>[1]TOBEPAID!I856/1000</f>
        <v>0</v>
      </c>
      <c r="J1111" s="19">
        <f>[1]TOBEPAID!J856/1000</f>
        <v>0</v>
      </c>
      <c r="K1111" s="19">
        <f>[1]TOBEPAID!K856/1000</f>
        <v>0</v>
      </c>
      <c r="L1111" s="19">
        <f>[1]TOBEPAID!L856/1000</f>
        <v>0</v>
      </c>
      <c r="M1111" s="19">
        <f>[1]TOBEPAID!M856/1000</f>
        <v>0</v>
      </c>
      <c r="N1111" s="19">
        <f>[1]TOBEPAID!N856/1000</f>
        <v>2722.6815000000001</v>
      </c>
      <c r="O1111" s="19">
        <f>[1]TOBEPAID!O856/1000</f>
        <v>0</v>
      </c>
      <c r="P1111" s="19">
        <f>[1]TOBEPAID!P856/1000</f>
        <v>0</v>
      </c>
      <c r="Q1111" s="19">
        <f>[1]TOBEPAID!Q856/1000</f>
        <v>0</v>
      </c>
      <c r="R1111" s="19">
        <v>0</v>
      </c>
      <c r="S1111" s="19">
        <f>[1]TOBEPAID!S856/1000</f>
        <v>0</v>
      </c>
      <c r="T1111" s="19">
        <f>[1]TOBEPAID!T856/1000</f>
        <v>0</v>
      </c>
      <c r="U1111" s="19">
        <f>[1]TOBEPAID!U856/1000</f>
        <v>0</v>
      </c>
      <c r="V1111" s="19">
        <f>[1]TOBEPAID!V856/1000</f>
        <v>0</v>
      </c>
      <c r="W1111" s="19">
        <f>[1]TOBEPAID!W856/1000</f>
        <v>0</v>
      </c>
      <c r="X1111" s="19">
        <f>[1]TOBEPAID!X856/1000</f>
        <v>0</v>
      </c>
      <c r="Y1111" s="19">
        <f t="shared" si="205"/>
        <v>2722.681</v>
      </c>
      <c r="Z1111" s="19">
        <f t="shared" si="204"/>
        <v>0</v>
      </c>
      <c r="AA1111" s="19">
        <f>[1]TOBEPAID!AA856/1000</f>
        <v>2722.6815000000001</v>
      </c>
      <c r="AB1111" s="19">
        <f>[1]TOBEPAID!AB856/1000</f>
        <v>0</v>
      </c>
      <c r="AC1111" s="19"/>
      <c r="AD1111" s="19"/>
    </row>
    <row r="1112" spans="1:30" x14ac:dyDescent="0.2">
      <c r="C1112" s="3" t="s">
        <v>63</v>
      </c>
      <c r="D1112" s="19">
        <f>12000000/1000</f>
        <v>12000</v>
      </c>
      <c r="E1112" s="19"/>
      <c r="F1112" s="19"/>
      <c r="G1112" s="19"/>
      <c r="H1112" s="19">
        <f>12000000/1000</f>
        <v>12000</v>
      </c>
      <c r="I1112" s="19"/>
      <c r="J1112" s="19"/>
      <c r="K1112" s="19"/>
      <c r="L1112" s="19"/>
      <c r="M1112" s="19"/>
      <c r="N1112" s="19"/>
      <c r="O1112" s="19"/>
      <c r="P1112" s="19"/>
      <c r="Q1112" s="19"/>
      <c r="R1112" s="19">
        <v>0</v>
      </c>
      <c r="S1112" s="19"/>
      <c r="T1112" s="19"/>
      <c r="U1112" s="19"/>
      <c r="V1112" s="19"/>
      <c r="W1112" s="19"/>
      <c r="X1112" s="19"/>
      <c r="Y1112" s="19">
        <f t="shared" si="205"/>
        <v>12000</v>
      </c>
      <c r="Z1112" s="19">
        <f t="shared" si="204"/>
        <v>0</v>
      </c>
      <c r="AA1112" s="19"/>
      <c r="AB1112" s="19"/>
      <c r="AC1112" s="19"/>
      <c r="AD1112" s="19"/>
    </row>
    <row r="1113" spans="1:30" x14ac:dyDescent="0.2">
      <c r="A1113" s="18"/>
      <c r="C1113" s="17" t="s">
        <v>54</v>
      </c>
      <c r="D1113" s="19">
        <v>0</v>
      </c>
      <c r="E1113" s="19">
        <f>[1]TOBEPAID!E857/1000</f>
        <v>0</v>
      </c>
      <c r="F1113" s="19">
        <f>[1]TOBEPAID!F857/1000</f>
        <v>0</v>
      </c>
      <c r="G1113" s="19">
        <f>[1]TOBEPAID!G857/1000</f>
        <v>0</v>
      </c>
      <c r="H1113" s="19">
        <v>0</v>
      </c>
      <c r="I1113" s="19">
        <f>[1]TOBEPAID!I857/1000</f>
        <v>0</v>
      </c>
      <c r="J1113" s="19">
        <f>[1]TOBEPAID!J857/1000</f>
        <v>0</v>
      </c>
      <c r="K1113" s="19">
        <f>[1]TOBEPAID!K857/1000</f>
        <v>0</v>
      </c>
      <c r="L1113" s="19">
        <f>[1]TOBEPAID!L857/1000</f>
        <v>0</v>
      </c>
      <c r="M1113" s="19">
        <f>[1]TOBEPAID!M857/1000</f>
        <v>0</v>
      </c>
      <c r="N1113" s="19">
        <f>[1]TOBEPAID!N857/1000</f>
        <v>0</v>
      </c>
      <c r="O1113" s="19">
        <f>[1]TOBEPAID!O857/1000</f>
        <v>0</v>
      </c>
      <c r="P1113" s="19">
        <f>[1]TOBEPAID!P857/1000</f>
        <v>0</v>
      </c>
      <c r="Q1113" s="19">
        <f>[1]TOBEPAID!Q857/1000</f>
        <v>0</v>
      </c>
      <c r="R1113" s="19">
        <v>0</v>
      </c>
      <c r="S1113" s="19">
        <f>[1]TOBEPAID!S857/1000</f>
        <v>0</v>
      </c>
      <c r="T1113" s="19">
        <f>[1]TOBEPAID!T857/1000</f>
        <v>0</v>
      </c>
      <c r="U1113" s="19">
        <f>[1]TOBEPAID!U857/1000</f>
        <v>0</v>
      </c>
      <c r="V1113" s="19">
        <f>[1]TOBEPAID!V857/1000</f>
        <v>0</v>
      </c>
      <c r="W1113" s="19">
        <f>[1]TOBEPAID!W857/1000</f>
        <v>0</v>
      </c>
      <c r="X1113" s="19">
        <f>[1]TOBEPAID!X857/1000</f>
        <v>0</v>
      </c>
      <c r="Y1113" s="19">
        <f t="shared" si="205"/>
        <v>0</v>
      </c>
      <c r="Z1113" s="19">
        <f t="shared" si="204"/>
        <v>0</v>
      </c>
      <c r="AA1113" s="19">
        <f>[1]TOBEPAID!AA857/1000</f>
        <v>0</v>
      </c>
      <c r="AB1113" s="19">
        <f>[1]TOBEPAID!AB857/1000</f>
        <v>27370.539489999999</v>
      </c>
      <c r="AC1113" s="19"/>
      <c r="AD1113" s="19"/>
    </row>
    <row r="1114" spans="1:30" x14ac:dyDescent="0.2">
      <c r="A1114" s="18"/>
      <c r="C1114" s="31" t="s">
        <v>56</v>
      </c>
      <c r="D1114" s="19">
        <v>0</v>
      </c>
      <c r="E1114" s="19">
        <f>[1]TOBEPAID!E858/1000</f>
        <v>0</v>
      </c>
      <c r="F1114" s="19">
        <f>[1]TOBEPAID!F858/1000</f>
        <v>0</v>
      </c>
      <c r="G1114" s="19">
        <f>[1]TOBEPAID!G858/1000</f>
        <v>0</v>
      </c>
      <c r="H1114" s="19">
        <v>0</v>
      </c>
      <c r="I1114" s="19">
        <f>[1]TOBEPAID!I858/1000</f>
        <v>0</v>
      </c>
      <c r="J1114" s="19">
        <f>[1]TOBEPAID!J858/1000</f>
        <v>0</v>
      </c>
      <c r="K1114" s="19">
        <f>[1]TOBEPAID!K858/1000</f>
        <v>0</v>
      </c>
      <c r="L1114" s="19">
        <f>[1]TOBEPAID!L858/1000</f>
        <v>0</v>
      </c>
      <c r="M1114" s="19">
        <f>[1]TOBEPAID!M858/1000</f>
        <v>0</v>
      </c>
      <c r="N1114" s="19">
        <f>[1]TOBEPAID!N858/1000</f>
        <v>0</v>
      </c>
      <c r="O1114" s="19">
        <f>[1]TOBEPAID!O858/1000</f>
        <v>0</v>
      </c>
      <c r="P1114" s="19">
        <f>[1]TOBEPAID!P858/1000</f>
        <v>0</v>
      </c>
      <c r="Q1114" s="19">
        <f>[1]TOBEPAID!Q858/1000</f>
        <v>0</v>
      </c>
      <c r="R1114" s="19">
        <v>0</v>
      </c>
      <c r="S1114" s="19">
        <f>[1]TOBEPAID!S858/1000</f>
        <v>0</v>
      </c>
      <c r="T1114" s="19">
        <f>[1]TOBEPAID!T858/1000</f>
        <v>0</v>
      </c>
      <c r="U1114" s="19">
        <f>[1]TOBEPAID!U858/1000</f>
        <v>0</v>
      </c>
      <c r="V1114" s="19">
        <f>[1]TOBEPAID!V858/1000</f>
        <v>0</v>
      </c>
      <c r="W1114" s="19">
        <f>[1]TOBEPAID!W858/1000</f>
        <v>0</v>
      </c>
      <c r="X1114" s="19">
        <f>[1]TOBEPAID!X858/1000</f>
        <v>0</v>
      </c>
      <c r="Y1114" s="19">
        <f t="shared" si="205"/>
        <v>0</v>
      </c>
      <c r="Z1114" s="19">
        <f t="shared" si="204"/>
        <v>0</v>
      </c>
      <c r="AA1114" s="19">
        <f>[1]TOBEPAID!AA858/1000</f>
        <v>0</v>
      </c>
      <c r="AB1114" s="19">
        <f>[1]TOBEPAID!AB858/1000</f>
        <v>481.19274999999999</v>
      </c>
      <c r="AC1114" s="19"/>
      <c r="AD1114" s="19"/>
    </row>
    <row r="1115" spans="1:30" x14ac:dyDescent="0.2">
      <c r="A1115" s="18"/>
      <c r="D1115" s="21" t="s">
        <v>57</v>
      </c>
      <c r="E1115" s="21" t="s">
        <v>57</v>
      </c>
      <c r="F1115" s="21" t="s">
        <v>57</v>
      </c>
      <c r="G1115" s="21"/>
      <c r="H1115" s="21" t="s">
        <v>57</v>
      </c>
      <c r="I1115" s="21" t="s">
        <v>57</v>
      </c>
      <c r="J1115" s="21" t="s">
        <v>57</v>
      </c>
      <c r="K1115" s="21" t="s">
        <v>57</v>
      </c>
      <c r="L1115" s="21" t="s">
        <v>57</v>
      </c>
      <c r="M1115" s="21"/>
      <c r="N1115" s="21" t="s">
        <v>57</v>
      </c>
      <c r="O1115" s="21" t="s">
        <v>57</v>
      </c>
      <c r="P1115" s="21" t="s">
        <v>57</v>
      </c>
      <c r="Q1115" s="21"/>
      <c r="R1115" s="21" t="s">
        <v>57</v>
      </c>
      <c r="S1115" s="21" t="s">
        <v>57</v>
      </c>
      <c r="T1115" s="21" t="s">
        <v>57</v>
      </c>
      <c r="U1115" s="21" t="s">
        <v>57</v>
      </c>
      <c r="V1115" s="21" t="s">
        <v>57</v>
      </c>
      <c r="W1115" s="21"/>
      <c r="X1115" s="21" t="s">
        <v>57</v>
      </c>
      <c r="Y1115" s="21" t="s">
        <v>57</v>
      </c>
      <c r="Z1115" s="21" t="s">
        <v>57</v>
      </c>
      <c r="AA1115" s="21" t="s">
        <v>57</v>
      </c>
      <c r="AB1115" s="21" t="s">
        <v>57</v>
      </c>
      <c r="AC1115" s="21"/>
      <c r="AD1115" s="21"/>
    </row>
    <row r="1116" spans="1:30" x14ac:dyDescent="0.2">
      <c r="A1116" s="18"/>
      <c r="B1116" s="9"/>
      <c r="D1116" s="19">
        <f>SUM(D1107:D1114)</f>
        <v>2209912.3259999999</v>
      </c>
      <c r="E1116" s="19">
        <f>SUM(E1107:E1114)</f>
        <v>125517.12119000001</v>
      </c>
      <c r="F1116" s="19">
        <f>SUM(F1107:F1114)</f>
        <v>30000</v>
      </c>
      <c r="G1116" s="19"/>
      <c r="H1116" s="19">
        <f>SUM(H1107:H1114)</f>
        <v>2209868.1209999998</v>
      </c>
      <c r="I1116" s="19">
        <f>SUM(I1107:I1114)</f>
        <v>0</v>
      </c>
      <c r="J1116" s="19">
        <f>SUM(J1107:J1114)</f>
        <v>0</v>
      </c>
      <c r="K1116" s="19">
        <f>SUM(K1107:K1114)</f>
        <v>0</v>
      </c>
      <c r="L1116" s="19">
        <f>SUM(L1107:L1114)</f>
        <v>0</v>
      </c>
      <c r="M1116" s="19"/>
      <c r="N1116" s="19">
        <f>SUM(N1107:N1114)</f>
        <v>155517.12119000001</v>
      </c>
      <c r="O1116" s="19">
        <f>SUM(O1107:O1114)</f>
        <v>0</v>
      </c>
      <c r="P1116" s="19">
        <f>SUM(P1107:P1114)</f>
        <v>0</v>
      </c>
      <c r="Q1116" s="19"/>
      <c r="R1116" s="19">
        <f>SUM(R1107:R1114)</f>
        <v>0</v>
      </c>
      <c r="S1116" s="19">
        <f>SUM(S1107:S1114)</f>
        <v>0</v>
      </c>
      <c r="T1116" s="19">
        <f>SUM(T1107:T1114)</f>
        <v>0</v>
      </c>
      <c r="U1116" s="19">
        <f>SUM(U1107:U1114)</f>
        <v>0</v>
      </c>
      <c r="V1116" s="19">
        <f>SUM(V1107:V1114)</f>
        <v>0</v>
      </c>
      <c r="W1116" s="19"/>
      <c r="X1116" s="19">
        <f>SUM(X1107:X1114)</f>
        <v>0</v>
      </c>
      <c r="Y1116" s="19">
        <f>SUM(Y1107:Y1114)</f>
        <v>2209868.1209999998</v>
      </c>
      <c r="Z1116" s="19">
        <f>SUM(Z1107:Z1114)</f>
        <v>44.205000000001746</v>
      </c>
      <c r="AA1116" s="19">
        <f>SUM(AA1107:AA1114)</f>
        <v>155517.12119000001</v>
      </c>
      <c r="AB1116" s="19">
        <f>SUM(AB1107:AB1114)</f>
        <v>79155.797950000007</v>
      </c>
      <c r="AC1116" s="19"/>
      <c r="AD1116" s="19"/>
    </row>
    <row r="1117" spans="1:30" x14ac:dyDescent="0.2">
      <c r="A1117" s="18"/>
      <c r="B1117" s="3" t="s">
        <v>321</v>
      </c>
      <c r="D1117" s="21" t="s">
        <v>57</v>
      </c>
      <c r="E1117" s="21" t="s">
        <v>57</v>
      </c>
      <c r="F1117" s="21" t="s">
        <v>57</v>
      </c>
      <c r="G1117" s="21"/>
      <c r="H1117" s="21" t="s">
        <v>57</v>
      </c>
      <c r="I1117" s="21" t="s">
        <v>57</v>
      </c>
      <c r="J1117" s="21" t="s">
        <v>57</v>
      </c>
      <c r="K1117" s="21" t="s">
        <v>57</v>
      </c>
      <c r="L1117" s="21" t="s">
        <v>57</v>
      </c>
      <c r="M1117" s="21"/>
      <c r="N1117" s="21" t="s">
        <v>57</v>
      </c>
      <c r="O1117" s="21" t="s">
        <v>57</v>
      </c>
      <c r="P1117" s="21" t="s">
        <v>57</v>
      </c>
      <c r="Q1117" s="21"/>
      <c r="R1117" s="21" t="s">
        <v>57</v>
      </c>
      <c r="S1117" s="21" t="s">
        <v>57</v>
      </c>
      <c r="T1117" s="21" t="s">
        <v>57</v>
      </c>
      <c r="U1117" s="21" t="s">
        <v>57</v>
      </c>
      <c r="V1117" s="21" t="s">
        <v>57</v>
      </c>
      <c r="W1117" s="21"/>
      <c r="X1117" s="21" t="s">
        <v>57</v>
      </c>
      <c r="Y1117" s="21" t="s">
        <v>57</v>
      </c>
      <c r="Z1117" s="21" t="s">
        <v>57</v>
      </c>
      <c r="AA1117" s="21" t="s">
        <v>57</v>
      </c>
      <c r="AB1117" s="21" t="s">
        <v>57</v>
      </c>
      <c r="AC1117" s="21"/>
      <c r="AD1117" s="21"/>
    </row>
    <row r="1118" spans="1:30" ht="15.75" thickBot="1" x14ac:dyDescent="0.25">
      <c r="A1118" s="18"/>
      <c r="B1118" s="22" t="s">
        <v>58</v>
      </c>
      <c r="D1118" s="23">
        <f>[1]TOBEPAID!D862/1000</f>
        <v>4410.7207800000006</v>
      </c>
      <c r="E1118" s="19">
        <f>[1]TOBEPAID!E862/1000</f>
        <v>0</v>
      </c>
      <c r="F1118" s="19">
        <f>[1]TOBEPAID!F862/1000</f>
        <v>0</v>
      </c>
      <c r="G1118" s="19">
        <f>[1]TOBEPAID!G862/1000</f>
        <v>0</v>
      </c>
      <c r="H1118" s="19"/>
      <c r="I1118" s="19">
        <f>[1]TOBEPAID!I862/1000</f>
        <v>0</v>
      </c>
      <c r="J1118" s="19">
        <f>[1]TOBEPAID!J862/1000</f>
        <v>0</v>
      </c>
      <c r="K1118" s="19">
        <f>[1]TOBEPAID!K862/1000</f>
        <v>0</v>
      </c>
      <c r="L1118" s="19">
        <f>[1]TOBEPAID!L862/1000</f>
        <v>0</v>
      </c>
      <c r="M1118" s="19">
        <f>[1]TOBEPAID!M862/1000</f>
        <v>0</v>
      </c>
      <c r="N1118" s="19">
        <f>[1]TOBEPAID!N862/1000</f>
        <v>0</v>
      </c>
      <c r="O1118" s="19">
        <f>[1]TOBEPAID!O862/1000</f>
        <v>4410.7207800000006</v>
      </c>
      <c r="P1118" s="19">
        <f>[1]TOBEPAID!P862/1000</f>
        <v>0</v>
      </c>
      <c r="Q1118" s="19">
        <f>[1]TOBEPAID!Q862/1000</f>
        <v>0</v>
      </c>
      <c r="R1118" s="23">
        <f>[1]TOBEPAID!R862/1000</f>
        <v>4410.7207800000006</v>
      </c>
      <c r="S1118" s="19">
        <f>[1]TOBEPAID!S862/1000</f>
        <v>0</v>
      </c>
      <c r="T1118" s="19">
        <f>[1]TOBEPAID!T862/1000</f>
        <v>0</v>
      </c>
      <c r="U1118" s="19">
        <f>[1]TOBEPAID!U862/1000</f>
        <v>0</v>
      </c>
      <c r="V1118" s="19">
        <f>[1]TOBEPAID!V862/1000</f>
        <v>0</v>
      </c>
      <c r="W1118" s="19">
        <f>[1]TOBEPAID!W862/1000</f>
        <v>0</v>
      </c>
      <c r="X1118" s="19">
        <f>[1]TOBEPAID!X862/1000</f>
        <v>0</v>
      </c>
      <c r="Y1118" s="23">
        <f>+H1118+R1118</f>
        <v>4410.7207800000006</v>
      </c>
      <c r="Z1118" s="23">
        <f>[1]TOBEPAID!Z862/1000</f>
        <v>0</v>
      </c>
      <c r="AA1118" s="19">
        <f>[1]TOBEPAID!AA862/1000</f>
        <v>0</v>
      </c>
      <c r="AB1118" s="19">
        <f>[1]TOBEPAID!AB862/1000</f>
        <v>0</v>
      </c>
      <c r="AC1118" s="19"/>
      <c r="AD1118" s="19"/>
    </row>
    <row r="1119" spans="1:30" ht="15.75" thickTop="1" x14ac:dyDescent="0.2">
      <c r="A1119" s="18">
        <v>88</v>
      </c>
      <c r="B1119" s="17" t="s">
        <v>323</v>
      </c>
      <c r="C1119" s="17" t="s">
        <v>51</v>
      </c>
      <c r="D1119" s="19">
        <f>53008723/1000</f>
        <v>53008.722999999998</v>
      </c>
      <c r="E1119" s="19">
        <f>[1]TOBEPAID!E863/1000</f>
        <v>0</v>
      </c>
      <c r="F1119" s="19">
        <f>[1]TOBEPAID!F863/1000</f>
        <v>0</v>
      </c>
      <c r="G1119" s="19">
        <f>[1]TOBEPAID!G863/1000</f>
        <v>0</v>
      </c>
      <c r="H1119" s="19">
        <f>50557947/1000</f>
        <v>50557.947</v>
      </c>
      <c r="I1119" s="19">
        <f>[1]TOBEPAID!I863/1000</f>
        <v>0</v>
      </c>
      <c r="J1119" s="19">
        <f>[1]TOBEPAID!J863/1000</f>
        <v>0</v>
      </c>
      <c r="K1119" s="19">
        <f>[1]TOBEPAID!K863/1000</f>
        <v>0</v>
      </c>
      <c r="L1119" s="19">
        <f>[1]TOBEPAID!L863/1000</f>
        <v>0</v>
      </c>
      <c r="M1119" s="19">
        <f>[1]TOBEPAID!M863/1000</f>
        <v>0</v>
      </c>
      <c r="N1119" s="19">
        <f>[1]TOBEPAID!N863/1000</f>
        <v>0</v>
      </c>
      <c r="O1119" s="19">
        <f>[1]TOBEPAID!O863/1000</f>
        <v>0</v>
      </c>
      <c r="P1119" s="19">
        <f>[1]TOBEPAID!P863/1000</f>
        <v>0</v>
      </c>
      <c r="Q1119" s="19">
        <f>[1]TOBEPAID!Q863/1000</f>
        <v>0</v>
      </c>
      <c r="R1119" s="19">
        <f>31889.28/1000</f>
        <v>31.889279999999999</v>
      </c>
      <c r="S1119" s="19">
        <f>[1]TOBEPAID!S863/1000</f>
        <v>0</v>
      </c>
      <c r="T1119" s="19">
        <f>[1]TOBEPAID!T863/1000</f>
        <v>0</v>
      </c>
      <c r="U1119" s="19">
        <f>[1]TOBEPAID!U863/1000</f>
        <v>0</v>
      </c>
      <c r="V1119" s="19">
        <f>[1]TOBEPAID!V863/1000</f>
        <v>0</v>
      </c>
      <c r="W1119" s="19">
        <f>[1]TOBEPAID!W863/1000</f>
        <v>0</v>
      </c>
      <c r="X1119" s="19">
        <f>[1]TOBEPAID!X863/1000</f>
        <v>0</v>
      </c>
      <c r="Y1119" s="19">
        <f>+H1119+R1119</f>
        <v>50589.836280000003</v>
      </c>
      <c r="Z1119" s="19">
        <f>+D1119-Y1119</f>
        <v>2418.886719999995</v>
      </c>
      <c r="AA1119" s="19">
        <f>[1]TOBEPAID!AA863/1000</f>
        <v>0</v>
      </c>
      <c r="AB1119" s="19">
        <f>[1]TOBEPAID!AB863/1000</f>
        <v>23713.938620000001</v>
      </c>
      <c r="AC1119" s="19"/>
      <c r="AD1119" s="19"/>
    </row>
    <row r="1120" spans="1:30" x14ac:dyDescent="0.2">
      <c r="A1120" s="18"/>
      <c r="C1120" s="20" t="s">
        <v>52</v>
      </c>
      <c r="D1120" s="19">
        <f>1371066/1000</f>
        <v>1371.066</v>
      </c>
      <c r="E1120" s="19">
        <f>[1]TOBEPAID!E864/1000</f>
        <v>1371.06655</v>
      </c>
      <c r="F1120" s="19">
        <f>[1]TOBEPAID!F864/1000</f>
        <v>0</v>
      </c>
      <c r="G1120" s="19">
        <f>[1]TOBEPAID!G864/1000</f>
        <v>0</v>
      </c>
      <c r="H1120" s="19">
        <f>1371066/1000</f>
        <v>1371.066</v>
      </c>
      <c r="I1120" s="19">
        <f>[1]TOBEPAID!I864/1000</f>
        <v>0</v>
      </c>
      <c r="J1120" s="19">
        <f>[1]TOBEPAID!J864/1000</f>
        <v>0</v>
      </c>
      <c r="K1120" s="19">
        <f>[1]TOBEPAID!K864/1000</f>
        <v>0</v>
      </c>
      <c r="L1120" s="19">
        <f>[1]TOBEPAID!L864/1000</f>
        <v>0</v>
      </c>
      <c r="M1120" s="19">
        <f>[1]TOBEPAID!M864/1000</f>
        <v>0</v>
      </c>
      <c r="N1120" s="19">
        <f>[1]TOBEPAID!N864/1000</f>
        <v>1371.06655</v>
      </c>
      <c r="O1120" s="19">
        <f>[1]TOBEPAID!O864/1000</f>
        <v>0</v>
      </c>
      <c r="P1120" s="19">
        <f>[1]TOBEPAID!P864/1000</f>
        <v>0</v>
      </c>
      <c r="Q1120" s="19">
        <f>[1]TOBEPAID!Q864/1000</f>
        <v>0</v>
      </c>
      <c r="R1120" s="19">
        <v>0</v>
      </c>
      <c r="S1120" s="19">
        <f>[1]TOBEPAID!S864/1000</f>
        <v>0</v>
      </c>
      <c r="T1120" s="19">
        <f>[1]TOBEPAID!T864/1000</f>
        <v>0</v>
      </c>
      <c r="U1120" s="19">
        <f>[1]TOBEPAID!U864/1000</f>
        <v>0</v>
      </c>
      <c r="V1120" s="19">
        <f>[1]TOBEPAID!V864/1000</f>
        <v>0</v>
      </c>
      <c r="W1120" s="19">
        <f>[1]TOBEPAID!W864/1000</f>
        <v>0</v>
      </c>
      <c r="X1120" s="19">
        <f>[1]TOBEPAID!X864/1000</f>
        <v>0</v>
      </c>
      <c r="Y1120" s="19">
        <f>+H1120+R1120</f>
        <v>1371.066</v>
      </c>
      <c r="Z1120" s="19">
        <f>+D1120-Y1120</f>
        <v>0</v>
      </c>
      <c r="AA1120" s="19">
        <f>[1]TOBEPAID!AA864/1000</f>
        <v>1371.06655</v>
      </c>
      <c r="AB1120" s="19">
        <f>[1]TOBEPAID!AB864/1000</f>
        <v>0</v>
      </c>
      <c r="AC1120" s="19"/>
      <c r="AD1120" s="19"/>
    </row>
    <row r="1121" spans="1:30" x14ac:dyDescent="0.2">
      <c r="A1121" s="18"/>
      <c r="C1121" s="17" t="s">
        <v>54</v>
      </c>
      <c r="D1121" s="19">
        <v>0</v>
      </c>
      <c r="E1121" s="19">
        <f>[1]TOBEPAID!E865/1000</f>
        <v>0</v>
      </c>
      <c r="F1121" s="19">
        <f>[1]TOBEPAID!F865/1000</f>
        <v>0</v>
      </c>
      <c r="G1121" s="19">
        <f>[1]TOBEPAID!G865/1000</f>
        <v>0</v>
      </c>
      <c r="H1121" s="19">
        <v>0</v>
      </c>
      <c r="I1121" s="19">
        <f>[1]TOBEPAID!I865/1000</f>
        <v>0</v>
      </c>
      <c r="J1121" s="19">
        <f>[1]TOBEPAID!J865/1000</f>
        <v>0</v>
      </c>
      <c r="K1121" s="19">
        <f>[1]TOBEPAID!K865/1000</f>
        <v>0</v>
      </c>
      <c r="L1121" s="19">
        <f>[1]TOBEPAID!L865/1000</f>
        <v>0</v>
      </c>
      <c r="M1121" s="19">
        <f>[1]TOBEPAID!M865/1000</f>
        <v>0</v>
      </c>
      <c r="N1121" s="19">
        <f>[1]TOBEPAID!N865/1000</f>
        <v>0</v>
      </c>
      <c r="O1121" s="19">
        <f>[1]TOBEPAID!O865/1000</f>
        <v>0</v>
      </c>
      <c r="P1121" s="19">
        <f>[1]TOBEPAID!P865/1000</f>
        <v>0</v>
      </c>
      <c r="Q1121" s="19">
        <f>[1]TOBEPAID!Q865/1000</f>
        <v>0</v>
      </c>
      <c r="R1121" s="19">
        <v>0</v>
      </c>
      <c r="S1121" s="19">
        <f>[1]TOBEPAID!S865/1000</f>
        <v>0</v>
      </c>
      <c r="T1121" s="19">
        <f>[1]TOBEPAID!T865/1000</f>
        <v>0</v>
      </c>
      <c r="U1121" s="19">
        <f>[1]TOBEPAID!U865/1000</f>
        <v>0</v>
      </c>
      <c r="V1121" s="19">
        <f>[1]TOBEPAID!V865/1000</f>
        <v>0</v>
      </c>
      <c r="W1121" s="19">
        <f>[1]TOBEPAID!W865/1000</f>
        <v>0</v>
      </c>
      <c r="X1121" s="19">
        <f>[1]TOBEPAID!X865/1000</f>
        <v>0</v>
      </c>
      <c r="Y1121" s="19">
        <f>+H1121+R1121</f>
        <v>0</v>
      </c>
      <c r="Z1121" s="19">
        <f>+D1121-Y1121</f>
        <v>0</v>
      </c>
      <c r="AA1121" s="19">
        <f>[1]TOBEPAID!AA865/1000</f>
        <v>0</v>
      </c>
      <c r="AB1121" s="19">
        <f>[1]TOBEPAID!AB865/1000</f>
        <v>25836.691220000004</v>
      </c>
      <c r="AC1121" s="19"/>
      <c r="AD1121" s="19"/>
    </row>
    <row r="1122" spans="1:30" x14ac:dyDescent="0.2">
      <c r="A1122" s="18"/>
      <c r="C1122" s="31" t="s">
        <v>56</v>
      </c>
      <c r="D1122" s="19">
        <v>0</v>
      </c>
      <c r="E1122" s="19">
        <f>[1]TOBEPAID!E866/1000</f>
        <v>0</v>
      </c>
      <c r="F1122" s="19">
        <f>[1]TOBEPAID!F866/1000</f>
        <v>0</v>
      </c>
      <c r="G1122" s="19">
        <f>[1]TOBEPAID!G866/1000</f>
        <v>0</v>
      </c>
      <c r="H1122" s="19">
        <v>0</v>
      </c>
      <c r="I1122" s="19">
        <f>[1]TOBEPAID!I866/1000</f>
        <v>0</v>
      </c>
      <c r="J1122" s="19">
        <f>[1]TOBEPAID!J866/1000</f>
        <v>0</v>
      </c>
      <c r="K1122" s="19">
        <f>[1]TOBEPAID!K866/1000</f>
        <v>0</v>
      </c>
      <c r="L1122" s="19">
        <f>[1]TOBEPAID!L866/1000</f>
        <v>0</v>
      </c>
      <c r="M1122" s="19">
        <f>[1]TOBEPAID!M866/1000</f>
        <v>0</v>
      </c>
      <c r="N1122" s="19">
        <f>[1]TOBEPAID!N866/1000</f>
        <v>0</v>
      </c>
      <c r="O1122" s="19">
        <f>[1]TOBEPAID!O866/1000</f>
        <v>2341.08826</v>
      </c>
      <c r="P1122" s="19">
        <f>[1]TOBEPAID!P866/1000</f>
        <v>0</v>
      </c>
      <c r="Q1122" s="19">
        <f>[1]TOBEPAID!Q866/1000</f>
        <v>0</v>
      </c>
      <c r="R1122" s="19">
        <v>0</v>
      </c>
      <c r="S1122" s="19">
        <f>[1]TOBEPAID!S866/1000</f>
        <v>0</v>
      </c>
      <c r="T1122" s="19">
        <f>[1]TOBEPAID!T866/1000</f>
        <v>0</v>
      </c>
      <c r="U1122" s="19">
        <f>[1]TOBEPAID!U866/1000</f>
        <v>0</v>
      </c>
      <c r="V1122" s="19">
        <f>[1]TOBEPAID!V866/1000</f>
        <v>0</v>
      </c>
      <c r="W1122" s="19">
        <f>[1]TOBEPAID!W866/1000</f>
        <v>0</v>
      </c>
      <c r="X1122" s="19">
        <f>[1]TOBEPAID!X866/1000</f>
        <v>2341.08826</v>
      </c>
      <c r="Y1122" s="19">
        <f>+H1122+R1122</f>
        <v>0</v>
      </c>
      <c r="Z1122" s="19">
        <f>+D1122-Y1122</f>
        <v>0</v>
      </c>
      <c r="AA1122" s="19">
        <f>[1]TOBEPAID!AA866/1000</f>
        <v>2341.08826</v>
      </c>
      <c r="AB1122" s="19">
        <f>[1]TOBEPAID!AB866/1000</f>
        <v>1117.0051600000002</v>
      </c>
      <c r="AC1122" s="19"/>
      <c r="AD1122" s="19"/>
    </row>
    <row r="1123" spans="1:30" x14ac:dyDescent="0.2">
      <c r="A1123" s="18"/>
      <c r="D1123" s="21" t="s">
        <v>57</v>
      </c>
      <c r="E1123" s="21" t="s">
        <v>57</v>
      </c>
      <c r="F1123" s="21" t="s">
        <v>57</v>
      </c>
      <c r="G1123" s="21"/>
      <c r="H1123" s="21" t="s">
        <v>57</v>
      </c>
      <c r="I1123" s="21" t="s">
        <v>57</v>
      </c>
      <c r="J1123" s="21" t="s">
        <v>57</v>
      </c>
      <c r="K1123" s="21" t="s">
        <v>57</v>
      </c>
      <c r="L1123" s="21" t="s">
        <v>57</v>
      </c>
      <c r="M1123" s="21"/>
      <c r="N1123" s="21" t="s">
        <v>57</v>
      </c>
      <c r="O1123" s="21" t="s">
        <v>57</v>
      </c>
      <c r="P1123" s="21" t="s">
        <v>57</v>
      </c>
      <c r="Q1123" s="21"/>
      <c r="R1123" s="21" t="s">
        <v>57</v>
      </c>
      <c r="S1123" s="21" t="s">
        <v>57</v>
      </c>
      <c r="T1123" s="21" t="s">
        <v>57</v>
      </c>
      <c r="U1123" s="21" t="s">
        <v>57</v>
      </c>
      <c r="V1123" s="21" t="s">
        <v>57</v>
      </c>
      <c r="W1123" s="21"/>
      <c r="X1123" s="21" t="s">
        <v>57</v>
      </c>
      <c r="Y1123" s="21" t="s">
        <v>57</v>
      </c>
      <c r="Z1123" s="21" t="s">
        <v>57</v>
      </c>
      <c r="AA1123" s="21" t="s">
        <v>57</v>
      </c>
      <c r="AB1123" s="21" t="s">
        <v>57</v>
      </c>
      <c r="AC1123" s="21"/>
      <c r="AD1123" s="21"/>
    </row>
    <row r="1124" spans="1:30" x14ac:dyDescent="0.2">
      <c r="A1124" s="18"/>
      <c r="D1124" s="19">
        <f>SUM(D1119:D1122)</f>
        <v>54379.788999999997</v>
      </c>
      <c r="E1124" s="19">
        <f>SUM(E1119:E1122)</f>
        <v>1371.06655</v>
      </c>
      <c r="F1124" s="19">
        <f>SUM(F1119:F1122)</f>
        <v>0</v>
      </c>
      <c r="G1124" s="19"/>
      <c r="H1124" s="19">
        <f>SUM(H1119:H1122)</f>
        <v>51929.012999999999</v>
      </c>
      <c r="I1124" s="19">
        <f>SUM(I1119:I1122)</f>
        <v>0</v>
      </c>
      <c r="J1124" s="19">
        <f>SUM(J1119:J1122)</f>
        <v>0</v>
      </c>
      <c r="K1124" s="19">
        <f>SUM(K1119:K1122)</f>
        <v>0</v>
      </c>
      <c r="L1124" s="19">
        <f>SUM(L1119:L1122)</f>
        <v>0</v>
      </c>
      <c r="M1124" s="19"/>
      <c r="N1124" s="19">
        <f>SUM(N1119:N1122)</f>
        <v>1371.06655</v>
      </c>
      <c r="O1124" s="19">
        <f>SUM(O1119:O1122)</f>
        <v>2341.08826</v>
      </c>
      <c r="P1124" s="19">
        <f>SUM(P1119:P1122)</f>
        <v>0</v>
      </c>
      <c r="Q1124" s="19"/>
      <c r="R1124" s="19">
        <f>SUM(R1119:R1122)</f>
        <v>31.889279999999999</v>
      </c>
      <c r="S1124" s="19">
        <f>SUM(S1119:S1122)</f>
        <v>0</v>
      </c>
      <c r="T1124" s="19">
        <f>SUM(T1119:T1122)</f>
        <v>0</v>
      </c>
      <c r="U1124" s="19">
        <f>SUM(U1119:U1122)</f>
        <v>0</v>
      </c>
      <c r="V1124" s="19">
        <f>SUM(V1119:V1122)</f>
        <v>0</v>
      </c>
      <c r="W1124" s="19"/>
      <c r="X1124" s="19">
        <f>SUM(X1119:X1122)</f>
        <v>2341.08826</v>
      </c>
      <c r="Y1124" s="19">
        <f>SUM(Y1119:Y1122)</f>
        <v>51960.902280000002</v>
      </c>
      <c r="Z1124" s="19">
        <f>SUM(Z1119:Z1122)</f>
        <v>2418.886719999995</v>
      </c>
      <c r="AA1124" s="19">
        <f>SUM(AA1119:AA1122)</f>
        <v>3712.15481</v>
      </c>
      <c r="AB1124" s="19">
        <f>SUM(AB1119:AB1122)</f>
        <v>50667.635000000009</v>
      </c>
      <c r="AC1124" s="19"/>
      <c r="AD1124" s="19"/>
    </row>
    <row r="1125" spans="1:30" x14ac:dyDescent="0.2">
      <c r="A1125" s="18"/>
      <c r="B1125" s="3" t="s">
        <v>324</v>
      </c>
      <c r="D1125" s="21" t="s">
        <v>57</v>
      </c>
      <c r="E1125" s="21" t="s">
        <v>57</v>
      </c>
      <c r="F1125" s="21" t="s">
        <v>57</v>
      </c>
      <c r="G1125" s="21"/>
      <c r="H1125" s="21" t="s">
        <v>57</v>
      </c>
      <c r="I1125" s="21" t="s">
        <v>57</v>
      </c>
      <c r="J1125" s="21" t="s">
        <v>57</v>
      </c>
      <c r="K1125" s="21" t="s">
        <v>57</v>
      </c>
      <c r="L1125" s="21" t="s">
        <v>57</v>
      </c>
      <c r="M1125" s="21"/>
      <c r="N1125" s="21" t="s">
        <v>57</v>
      </c>
      <c r="O1125" s="21" t="s">
        <v>57</v>
      </c>
      <c r="P1125" s="21" t="s">
        <v>57</v>
      </c>
      <c r="Q1125" s="21"/>
      <c r="R1125" s="21" t="s">
        <v>57</v>
      </c>
      <c r="S1125" s="21" t="s">
        <v>57</v>
      </c>
      <c r="T1125" s="21" t="s">
        <v>57</v>
      </c>
      <c r="U1125" s="21" t="s">
        <v>57</v>
      </c>
      <c r="V1125" s="21" t="s">
        <v>57</v>
      </c>
      <c r="W1125" s="21"/>
      <c r="X1125" s="21" t="s">
        <v>57</v>
      </c>
      <c r="Y1125" s="21" t="s">
        <v>57</v>
      </c>
      <c r="Z1125" s="21" t="s">
        <v>57</v>
      </c>
      <c r="AA1125" s="21" t="s">
        <v>57</v>
      </c>
      <c r="AB1125" s="21" t="s">
        <v>57</v>
      </c>
      <c r="AC1125" s="21"/>
      <c r="AD1125" s="21"/>
    </row>
    <row r="1126" spans="1:30" ht="15.75" thickBot="1" x14ac:dyDescent="0.25">
      <c r="A1126" s="18"/>
      <c r="B1126" s="22" t="s">
        <v>58</v>
      </c>
      <c r="D1126" s="24">
        <f>3262808/1000</f>
        <v>3262.808</v>
      </c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4">
        <f t="shared" ref="R1126:Y1126" si="206">3262808/1000</f>
        <v>3262.808</v>
      </c>
      <c r="S1126" s="24">
        <f t="shared" si="206"/>
        <v>3262.808</v>
      </c>
      <c r="T1126" s="24">
        <f t="shared" si="206"/>
        <v>3262.808</v>
      </c>
      <c r="U1126" s="24">
        <f t="shared" si="206"/>
        <v>3262.808</v>
      </c>
      <c r="V1126" s="24">
        <f t="shared" si="206"/>
        <v>3262.808</v>
      </c>
      <c r="W1126" s="24">
        <f t="shared" si="206"/>
        <v>3262.808</v>
      </c>
      <c r="X1126" s="24">
        <f t="shared" si="206"/>
        <v>3262.808</v>
      </c>
      <c r="Y1126" s="24">
        <f t="shared" si="206"/>
        <v>3262.808</v>
      </c>
      <c r="Z1126" s="24">
        <f>+D1126-Y1126</f>
        <v>0</v>
      </c>
      <c r="AA1126" s="21"/>
      <c r="AB1126" s="21"/>
      <c r="AC1126" s="21"/>
      <c r="AD1126" s="21"/>
    </row>
    <row r="1127" spans="1:30" ht="15.75" thickTop="1" x14ac:dyDescent="0.2">
      <c r="A1127" s="18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  <c r="X1127" s="21"/>
      <c r="Y1127" s="21"/>
      <c r="Z1127" s="21"/>
      <c r="AA1127" s="21"/>
      <c r="AB1127" s="21"/>
      <c r="AC1127" s="21"/>
      <c r="AD1127" s="21"/>
    </row>
    <row r="1128" spans="1:30" x14ac:dyDescent="0.2">
      <c r="A1128" s="18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  <c r="AB1128" s="21"/>
      <c r="AC1128" s="21"/>
      <c r="AD1128" s="21"/>
    </row>
    <row r="1129" spans="1:30" x14ac:dyDescent="0.2">
      <c r="B1129" s="69"/>
      <c r="C1129" s="11"/>
      <c r="D1129" s="44"/>
      <c r="E1129" s="44"/>
      <c r="F1129" s="44"/>
      <c r="G1129" s="44"/>
      <c r="H1129" s="44"/>
      <c r="I1129" s="44"/>
      <c r="J1129" s="44"/>
      <c r="K1129" s="44"/>
      <c r="L1129" s="44"/>
      <c r="M1129" s="44"/>
      <c r="N1129" s="44"/>
      <c r="O1129" s="44"/>
      <c r="P1129" s="44"/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19">
        <f>[1]TOBEPAID!AA870/1000</f>
        <v>0</v>
      </c>
      <c r="AB1129" s="19">
        <f>[1]TOBEPAID!AB870/1000</f>
        <v>0</v>
      </c>
      <c r="AC1129" s="19"/>
      <c r="AD1129" s="19"/>
    </row>
    <row r="1130" spans="1:30" x14ac:dyDescent="0.2">
      <c r="A1130" s="18">
        <v>89</v>
      </c>
      <c r="B1130" s="17" t="s">
        <v>325</v>
      </c>
      <c r="C1130" s="17" t="s">
        <v>51</v>
      </c>
      <c r="D1130" s="19">
        <f>42417732/1000</f>
        <v>42417.732000000004</v>
      </c>
      <c r="E1130" s="19">
        <f>[1]TOBEPAID!E871/1000</f>
        <v>0</v>
      </c>
      <c r="F1130" s="19">
        <f>[1]TOBEPAID!F871/1000</f>
        <v>0</v>
      </c>
      <c r="G1130" s="19">
        <f>[1]TOBEPAID!G871/1000</f>
        <v>0</v>
      </c>
      <c r="H1130" s="19">
        <f>24126850/1000</f>
        <v>24126.85</v>
      </c>
      <c r="I1130" s="19">
        <f>[1]TOBEPAID!I871/1000</f>
        <v>0</v>
      </c>
      <c r="J1130" s="19">
        <f>[1]TOBEPAID!J871/1000</f>
        <v>0</v>
      </c>
      <c r="K1130" s="19">
        <f>[1]TOBEPAID!K871/1000</f>
        <v>0</v>
      </c>
      <c r="L1130" s="19">
        <f>[1]TOBEPAID!L871/1000</f>
        <v>0</v>
      </c>
      <c r="M1130" s="19">
        <f>[1]TOBEPAID!M871/1000</f>
        <v>0</v>
      </c>
      <c r="N1130" s="19">
        <f>[1]TOBEPAID!N871/1000</f>
        <v>0</v>
      </c>
      <c r="O1130" s="19">
        <f>[1]TOBEPAID!O871/1000</f>
        <v>0</v>
      </c>
      <c r="P1130" s="19">
        <f>[1]TOBEPAID!P871/1000</f>
        <v>0</v>
      </c>
      <c r="Q1130" s="19">
        <f>[1]TOBEPAID!Q871/1000</f>
        <v>0</v>
      </c>
      <c r="R1130" s="19">
        <v>0</v>
      </c>
      <c r="S1130" s="19">
        <f>[1]TOBEPAID!S871/1000</f>
        <v>0</v>
      </c>
      <c r="T1130" s="19">
        <f>[1]TOBEPAID!T871/1000</f>
        <v>0</v>
      </c>
      <c r="U1130" s="19">
        <f>[1]TOBEPAID!U871/1000</f>
        <v>0</v>
      </c>
      <c r="V1130" s="19">
        <f>[1]TOBEPAID!V871/1000</f>
        <v>0</v>
      </c>
      <c r="W1130" s="19">
        <f>[1]TOBEPAID!W871/1000</f>
        <v>0</v>
      </c>
      <c r="X1130" s="19">
        <f>[1]TOBEPAID!X871/1000</f>
        <v>0</v>
      </c>
      <c r="Y1130" s="19">
        <f>+H1130+R1130</f>
        <v>24126.85</v>
      </c>
      <c r="Z1130" s="19">
        <f>+D1130-Y1130</f>
        <v>18290.882000000005</v>
      </c>
      <c r="AA1130" s="19">
        <f>[1]TOBEPAID!AA871/1000</f>
        <v>0</v>
      </c>
      <c r="AB1130" s="19">
        <f>[1]TOBEPAID!AB871/1000</f>
        <v>42417.732109999997</v>
      </c>
      <c r="AC1130" s="19"/>
      <c r="AD1130" s="19"/>
    </row>
    <row r="1131" spans="1:30" x14ac:dyDescent="0.2">
      <c r="A1131" s="18"/>
      <c r="C1131" s="20" t="s">
        <v>52</v>
      </c>
      <c r="D1131" s="19">
        <f>2071774/1000</f>
        <v>2071.7739999999999</v>
      </c>
      <c r="E1131" s="19">
        <f>[1]TOBEPAID!E872/1000</f>
        <v>2071.7748300000003</v>
      </c>
      <c r="F1131" s="19">
        <f>[1]TOBEPAID!F872/1000</f>
        <v>0</v>
      </c>
      <c r="G1131" s="19">
        <f>[1]TOBEPAID!G872/1000</f>
        <v>0</v>
      </c>
      <c r="H1131" s="19">
        <f>2071774/1000</f>
        <v>2071.7739999999999</v>
      </c>
      <c r="I1131" s="19">
        <f>[1]TOBEPAID!I872/1000</f>
        <v>0</v>
      </c>
      <c r="J1131" s="19">
        <f>[1]TOBEPAID!J872/1000</f>
        <v>0</v>
      </c>
      <c r="K1131" s="19">
        <f>[1]TOBEPAID!K872/1000</f>
        <v>0</v>
      </c>
      <c r="L1131" s="19">
        <f>[1]TOBEPAID!L872/1000</f>
        <v>0</v>
      </c>
      <c r="M1131" s="19">
        <f>[1]TOBEPAID!M872/1000</f>
        <v>0</v>
      </c>
      <c r="N1131" s="19">
        <f>[1]TOBEPAID!N872/1000</f>
        <v>2071.7748300000003</v>
      </c>
      <c r="O1131" s="19">
        <f>[1]TOBEPAID!O872/1000</f>
        <v>0</v>
      </c>
      <c r="P1131" s="19">
        <f>[1]TOBEPAID!P872/1000</f>
        <v>0</v>
      </c>
      <c r="Q1131" s="19">
        <f>[1]TOBEPAID!Q872/1000</f>
        <v>0</v>
      </c>
      <c r="R1131" s="19">
        <v>0</v>
      </c>
      <c r="S1131" s="19">
        <f>[1]TOBEPAID!S872/1000</f>
        <v>0</v>
      </c>
      <c r="T1131" s="19">
        <f>[1]TOBEPAID!T872/1000</f>
        <v>0</v>
      </c>
      <c r="U1131" s="19">
        <f>[1]TOBEPAID!U872/1000</f>
        <v>0</v>
      </c>
      <c r="V1131" s="19">
        <f>[1]TOBEPAID!V872/1000</f>
        <v>0</v>
      </c>
      <c r="W1131" s="19">
        <f>[1]TOBEPAID!W872/1000</f>
        <v>0</v>
      </c>
      <c r="X1131" s="19">
        <f>[1]TOBEPAID!X872/1000</f>
        <v>0</v>
      </c>
      <c r="Y1131" s="19">
        <f>+H1131+R1131</f>
        <v>2071.7739999999999</v>
      </c>
      <c r="Z1131" s="19">
        <f>+D1131-Y1131</f>
        <v>0</v>
      </c>
      <c r="AA1131" s="19">
        <f>[1]TOBEPAID!AA872/1000</f>
        <v>2071.7748300000003</v>
      </c>
      <c r="AB1131" s="19">
        <f>[1]TOBEPAID!AB872/1000</f>
        <v>0</v>
      </c>
      <c r="AC1131" s="19"/>
      <c r="AD1131" s="19"/>
    </row>
    <row r="1132" spans="1:30" x14ac:dyDescent="0.2">
      <c r="A1132" s="18"/>
      <c r="C1132" s="17" t="s">
        <v>54</v>
      </c>
      <c r="D1132" s="19">
        <f>48918542/1000</f>
        <v>48918.542000000001</v>
      </c>
      <c r="E1132" s="19">
        <f>[1]TOBEPAID!E873/1000</f>
        <v>0</v>
      </c>
      <c r="F1132" s="19">
        <f>[1]TOBEPAID!F873/1000</f>
        <v>0</v>
      </c>
      <c r="G1132" s="19">
        <f>[1]TOBEPAID!G873/1000</f>
        <v>0</v>
      </c>
      <c r="H1132" s="19">
        <v>0</v>
      </c>
      <c r="I1132" s="19">
        <f>[1]TOBEPAID!I873/1000</f>
        <v>0</v>
      </c>
      <c r="J1132" s="19">
        <f>[1]TOBEPAID!J873/1000</f>
        <v>0</v>
      </c>
      <c r="K1132" s="19">
        <f>[1]TOBEPAID!K873/1000</f>
        <v>0</v>
      </c>
      <c r="L1132" s="19">
        <f>[1]TOBEPAID!L873/1000</f>
        <v>0</v>
      </c>
      <c r="M1132" s="19">
        <f>[1]TOBEPAID!M873/1000</f>
        <v>0</v>
      </c>
      <c r="N1132" s="19">
        <f>[1]TOBEPAID!N873/1000</f>
        <v>0</v>
      </c>
      <c r="O1132" s="19">
        <f>[1]TOBEPAID!O873/1000</f>
        <v>0</v>
      </c>
      <c r="P1132" s="19">
        <f>[1]TOBEPAID!P873/1000</f>
        <v>0</v>
      </c>
      <c r="Q1132" s="19">
        <f>[1]TOBEPAID!Q873/1000</f>
        <v>0</v>
      </c>
      <c r="R1132" s="19">
        <v>0</v>
      </c>
      <c r="S1132" s="19">
        <f>[1]TOBEPAID!S873/1000</f>
        <v>0</v>
      </c>
      <c r="T1132" s="19">
        <f>[1]TOBEPAID!T873/1000</f>
        <v>0</v>
      </c>
      <c r="U1132" s="19">
        <f>[1]TOBEPAID!U873/1000</f>
        <v>0</v>
      </c>
      <c r="V1132" s="19">
        <f>[1]TOBEPAID!V873/1000</f>
        <v>0</v>
      </c>
      <c r="W1132" s="19">
        <f>[1]TOBEPAID!W873/1000</f>
        <v>0</v>
      </c>
      <c r="X1132" s="19">
        <f>[1]TOBEPAID!X873/1000</f>
        <v>0</v>
      </c>
      <c r="Y1132" s="19">
        <f>+H1132+R1132</f>
        <v>0</v>
      </c>
      <c r="Z1132" s="19">
        <f>+D1132-Y1132</f>
        <v>48918.542000000001</v>
      </c>
      <c r="AA1132" s="19">
        <f>[1]TOBEPAID!AA873/1000</f>
        <v>0</v>
      </c>
      <c r="AB1132" s="19">
        <f>[1]TOBEPAID!AB873/1000</f>
        <v>48918.542439999997</v>
      </c>
      <c r="AC1132" s="19"/>
      <c r="AD1132" s="19"/>
    </row>
    <row r="1133" spans="1:30" x14ac:dyDescent="0.2">
      <c r="A1133" s="18"/>
      <c r="C1133" s="17" t="s">
        <v>55</v>
      </c>
      <c r="D1133" s="19">
        <f>3688000/1000</f>
        <v>3688</v>
      </c>
      <c r="E1133" s="19">
        <f>[1]TOBEPAID!E874/1000</f>
        <v>0</v>
      </c>
      <c r="F1133" s="19">
        <f>[1]TOBEPAID!F874/1000</f>
        <v>0</v>
      </c>
      <c r="G1133" s="19">
        <f>[1]TOBEPAID!G874/1000</f>
        <v>0</v>
      </c>
      <c r="H1133" s="19">
        <v>0</v>
      </c>
      <c r="I1133" s="19">
        <f>[1]TOBEPAID!I874/1000</f>
        <v>0</v>
      </c>
      <c r="J1133" s="19">
        <f>[1]TOBEPAID!J874/1000</f>
        <v>0</v>
      </c>
      <c r="K1133" s="19">
        <f>[1]TOBEPAID!K874/1000</f>
        <v>0</v>
      </c>
      <c r="L1133" s="19">
        <f>[1]TOBEPAID!L874/1000</f>
        <v>0</v>
      </c>
      <c r="M1133" s="19">
        <f>[1]TOBEPAID!M874/1000</f>
        <v>0</v>
      </c>
      <c r="N1133" s="19">
        <f>[1]TOBEPAID!N874/1000</f>
        <v>0</v>
      </c>
      <c r="O1133" s="19">
        <f>[1]TOBEPAID!O874/1000</f>
        <v>0</v>
      </c>
      <c r="P1133" s="19">
        <f>[1]TOBEPAID!P874/1000</f>
        <v>0</v>
      </c>
      <c r="Q1133" s="19">
        <f>[1]TOBEPAID!Q874/1000</f>
        <v>0</v>
      </c>
      <c r="R1133" s="19">
        <v>0</v>
      </c>
      <c r="S1133" s="19">
        <f>[1]TOBEPAID!S874/1000</f>
        <v>0</v>
      </c>
      <c r="T1133" s="19">
        <f>[1]TOBEPAID!T874/1000</f>
        <v>0</v>
      </c>
      <c r="U1133" s="19">
        <f>[1]TOBEPAID!U874/1000</f>
        <v>0</v>
      </c>
      <c r="V1133" s="19">
        <f>[1]TOBEPAID!V874/1000</f>
        <v>0</v>
      </c>
      <c r="W1133" s="19">
        <f>[1]TOBEPAID!W874/1000</f>
        <v>0</v>
      </c>
      <c r="X1133" s="19">
        <f>[1]TOBEPAID!X874/1000</f>
        <v>0</v>
      </c>
      <c r="Y1133" s="19">
        <f>+H1133+R1133</f>
        <v>0</v>
      </c>
      <c r="Z1133" s="19">
        <f>+D1133-Y1133</f>
        <v>3688</v>
      </c>
      <c r="AA1133" s="19">
        <f>[1]TOBEPAID!AA874/1000</f>
        <v>0</v>
      </c>
      <c r="AB1133" s="19">
        <f>[1]TOBEPAID!AB874/1000</f>
        <v>3688</v>
      </c>
      <c r="AC1133" s="19"/>
      <c r="AD1133" s="19"/>
    </row>
    <row r="1134" spans="1:30" x14ac:dyDescent="0.2">
      <c r="A1134" s="18"/>
      <c r="C1134" s="31" t="s">
        <v>56</v>
      </c>
      <c r="D1134" s="19">
        <f>4532202/1000</f>
        <v>4532.2020000000002</v>
      </c>
      <c r="E1134" s="19">
        <f>[1]TOBEPAID!E875/1000</f>
        <v>0</v>
      </c>
      <c r="F1134" s="19">
        <f>[1]TOBEPAID!F875/1000</f>
        <v>0</v>
      </c>
      <c r="G1134" s="19">
        <f>[1]TOBEPAID!G875/1000</f>
        <v>0</v>
      </c>
      <c r="H1134" s="19">
        <v>0</v>
      </c>
      <c r="I1134" s="19">
        <f>[1]TOBEPAID!I875/1000</f>
        <v>0</v>
      </c>
      <c r="J1134" s="19">
        <f>[1]TOBEPAID!J875/1000</f>
        <v>0</v>
      </c>
      <c r="K1134" s="19">
        <f>[1]TOBEPAID!K875/1000</f>
        <v>0</v>
      </c>
      <c r="L1134" s="19">
        <f>[1]TOBEPAID!L875/1000</f>
        <v>0</v>
      </c>
      <c r="M1134" s="19">
        <f>[1]TOBEPAID!M875/1000</f>
        <v>0</v>
      </c>
      <c r="N1134" s="19">
        <f>[1]TOBEPAID!N875/1000</f>
        <v>0</v>
      </c>
      <c r="O1134" s="19">
        <f>[1]TOBEPAID!O875/1000</f>
        <v>0</v>
      </c>
      <c r="P1134" s="19">
        <f>[1]TOBEPAID!P875/1000</f>
        <v>0</v>
      </c>
      <c r="Q1134" s="19">
        <f>[1]TOBEPAID!Q875/1000</f>
        <v>0</v>
      </c>
      <c r="R1134" s="19">
        <v>0</v>
      </c>
      <c r="S1134" s="19">
        <f>[1]TOBEPAID!S875/1000</f>
        <v>0</v>
      </c>
      <c r="T1134" s="19">
        <f>[1]TOBEPAID!T875/1000</f>
        <v>0</v>
      </c>
      <c r="U1134" s="19">
        <f>[1]TOBEPAID!U875/1000</f>
        <v>0</v>
      </c>
      <c r="V1134" s="19">
        <f>[1]TOBEPAID!V875/1000</f>
        <v>0</v>
      </c>
      <c r="W1134" s="19">
        <f>[1]TOBEPAID!W875/1000</f>
        <v>0</v>
      </c>
      <c r="X1134" s="19">
        <f>[1]TOBEPAID!X875/1000</f>
        <v>0</v>
      </c>
      <c r="Y1134" s="19">
        <f>+H1134+R1134</f>
        <v>0</v>
      </c>
      <c r="Z1134" s="19">
        <f>+D1134-Y1134</f>
        <v>4532.2020000000002</v>
      </c>
      <c r="AA1134" s="19">
        <f>[1]TOBEPAID!AA875/1000</f>
        <v>0</v>
      </c>
      <c r="AB1134" s="19">
        <f>[1]TOBEPAID!AB875/1000</f>
        <v>4532.20226</v>
      </c>
      <c r="AC1134" s="19"/>
      <c r="AD1134" s="19"/>
    </row>
    <row r="1135" spans="1:30" x14ac:dyDescent="0.2">
      <c r="A1135" s="18"/>
      <c r="D1135" s="21" t="s">
        <v>57</v>
      </c>
      <c r="E1135" s="21" t="s">
        <v>57</v>
      </c>
      <c r="F1135" s="21" t="s">
        <v>57</v>
      </c>
      <c r="G1135" s="21"/>
      <c r="H1135" s="21" t="s">
        <v>57</v>
      </c>
      <c r="I1135" s="21" t="s">
        <v>57</v>
      </c>
      <c r="J1135" s="21" t="s">
        <v>57</v>
      </c>
      <c r="K1135" s="21" t="s">
        <v>57</v>
      </c>
      <c r="L1135" s="21" t="s">
        <v>57</v>
      </c>
      <c r="M1135" s="21"/>
      <c r="N1135" s="21" t="s">
        <v>57</v>
      </c>
      <c r="O1135" s="21" t="s">
        <v>57</v>
      </c>
      <c r="P1135" s="21" t="s">
        <v>57</v>
      </c>
      <c r="Q1135" s="21"/>
      <c r="R1135" s="21" t="s">
        <v>57</v>
      </c>
      <c r="S1135" s="21" t="s">
        <v>57</v>
      </c>
      <c r="T1135" s="21" t="s">
        <v>57</v>
      </c>
      <c r="U1135" s="21" t="s">
        <v>57</v>
      </c>
      <c r="V1135" s="21" t="s">
        <v>57</v>
      </c>
      <c r="W1135" s="21"/>
      <c r="X1135" s="21" t="s">
        <v>57</v>
      </c>
      <c r="Y1135" s="21" t="s">
        <v>57</v>
      </c>
      <c r="Z1135" s="21" t="s">
        <v>57</v>
      </c>
      <c r="AA1135" s="21" t="s">
        <v>57</v>
      </c>
      <c r="AB1135" s="21" t="s">
        <v>57</v>
      </c>
      <c r="AC1135" s="21"/>
      <c r="AD1135" s="21"/>
    </row>
    <row r="1136" spans="1:30" x14ac:dyDescent="0.2">
      <c r="A1136" s="18"/>
      <c r="D1136" s="19">
        <f>SUM(D1130:D1134)</f>
        <v>101628.25000000001</v>
      </c>
      <c r="E1136" s="19">
        <f>SUM(E1130:E1134)</f>
        <v>2071.7748300000003</v>
      </c>
      <c r="F1136" s="19">
        <f>SUM(F1130:F1134)</f>
        <v>0</v>
      </c>
      <c r="G1136" s="19"/>
      <c r="H1136" s="19">
        <f>SUM(H1130:H1134)</f>
        <v>26198.624</v>
      </c>
      <c r="I1136" s="19">
        <f>SUM(I1130:I1134)</f>
        <v>0</v>
      </c>
      <c r="J1136" s="19">
        <f>SUM(J1130:J1134)</f>
        <v>0</v>
      </c>
      <c r="K1136" s="19">
        <f>SUM(K1130:K1134)</f>
        <v>0</v>
      </c>
      <c r="L1136" s="19">
        <f>SUM(L1130:L1134)</f>
        <v>0</v>
      </c>
      <c r="M1136" s="19"/>
      <c r="N1136" s="19">
        <f>SUM(N1130:N1134)</f>
        <v>2071.7748300000003</v>
      </c>
      <c r="O1136" s="19">
        <f>SUM(O1130:O1134)</f>
        <v>0</v>
      </c>
      <c r="P1136" s="19">
        <f>SUM(P1130:P1134)</f>
        <v>0</v>
      </c>
      <c r="Q1136" s="19"/>
      <c r="R1136" s="19">
        <f>SUM(R1130:R1134)</f>
        <v>0</v>
      </c>
      <c r="S1136" s="19">
        <f>SUM(S1130:S1134)</f>
        <v>0</v>
      </c>
      <c r="T1136" s="19">
        <f>SUM(T1130:T1134)</f>
        <v>0</v>
      </c>
      <c r="U1136" s="19">
        <f>SUM(U1130:U1134)</f>
        <v>0</v>
      </c>
      <c r="V1136" s="19">
        <f>SUM(V1130:V1134)</f>
        <v>0</v>
      </c>
      <c r="W1136" s="19"/>
      <c r="X1136" s="19">
        <f>SUM(X1130:X1134)</f>
        <v>0</v>
      </c>
      <c r="Y1136" s="19">
        <f>SUM(Y1130:Y1134)</f>
        <v>26198.624</v>
      </c>
      <c r="Z1136" s="19">
        <f>SUM(Z1130:Z1134)</f>
        <v>75429.626000000004</v>
      </c>
      <c r="AA1136" s="19">
        <f>SUM(AA1130:AA1134)</f>
        <v>2071.7748300000003</v>
      </c>
      <c r="AB1136" s="19">
        <f>SUM(AB1130:AB1134)</f>
        <v>99556.476810000007</v>
      </c>
      <c r="AC1136" s="19"/>
      <c r="AD1136" s="19"/>
    </row>
    <row r="1137" spans="1:45" x14ac:dyDescent="0.2">
      <c r="A1137" s="18"/>
      <c r="B1137" s="3" t="s">
        <v>326</v>
      </c>
      <c r="D1137" s="21" t="s">
        <v>57</v>
      </c>
      <c r="E1137" s="21" t="s">
        <v>57</v>
      </c>
      <c r="F1137" s="21" t="s">
        <v>57</v>
      </c>
      <c r="G1137" s="21"/>
      <c r="H1137" s="21" t="s">
        <v>57</v>
      </c>
      <c r="I1137" s="21" t="s">
        <v>57</v>
      </c>
      <c r="J1137" s="21" t="s">
        <v>57</v>
      </c>
      <c r="K1137" s="21" t="s">
        <v>57</v>
      </c>
      <c r="L1137" s="21" t="s">
        <v>57</v>
      </c>
      <c r="M1137" s="21"/>
      <c r="N1137" s="21" t="s">
        <v>57</v>
      </c>
      <c r="O1137" s="21" t="s">
        <v>57</v>
      </c>
      <c r="P1137" s="21" t="s">
        <v>57</v>
      </c>
      <c r="Q1137" s="21"/>
      <c r="R1137" s="21" t="s">
        <v>57</v>
      </c>
      <c r="S1137" s="21" t="s">
        <v>57</v>
      </c>
      <c r="T1137" s="21" t="s">
        <v>57</v>
      </c>
      <c r="U1137" s="21" t="s">
        <v>57</v>
      </c>
      <c r="V1137" s="21" t="s">
        <v>57</v>
      </c>
      <c r="W1137" s="21"/>
      <c r="X1137" s="21" t="s">
        <v>57</v>
      </c>
      <c r="Y1137" s="21" t="s">
        <v>57</v>
      </c>
      <c r="Z1137" s="21" t="s">
        <v>57</v>
      </c>
      <c r="AA1137" s="21" t="s">
        <v>57</v>
      </c>
      <c r="AB1137" s="21" t="s">
        <v>57</v>
      </c>
      <c r="AC1137" s="21"/>
      <c r="AD1137" s="21"/>
    </row>
    <row r="1138" spans="1:45" ht="15.75" thickBot="1" x14ac:dyDescent="0.25">
      <c r="B1138" s="22" t="s">
        <v>58</v>
      </c>
      <c r="D1138" s="23">
        <v>0</v>
      </c>
      <c r="E1138" s="44">
        <f>[1]TOBEPAID!E879/1000</f>
        <v>0</v>
      </c>
      <c r="F1138" s="44">
        <f>[1]TOBEPAID!F879/1000</f>
        <v>0</v>
      </c>
      <c r="G1138" s="44">
        <f>[1]TOBEPAID!G879/1000</f>
        <v>0</v>
      </c>
      <c r="H1138" s="44"/>
      <c r="I1138" s="44">
        <f>[1]TOBEPAID!I879/1000</f>
        <v>0</v>
      </c>
      <c r="J1138" s="44">
        <f>[1]TOBEPAID!J879/1000</f>
        <v>0</v>
      </c>
      <c r="K1138" s="44">
        <f>[1]TOBEPAID!K879/1000</f>
        <v>0</v>
      </c>
      <c r="L1138" s="44">
        <f>[1]TOBEPAID!L879/1000</f>
        <v>0</v>
      </c>
      <c r="M1138" s="44">
        <f>[1]TOBEPAID!M879/1000</f>
        <v>0</v>
      </c>
      <c r="N1138" s="44">
        <f>[1]TOBEPAID!N879/1000</f>
        <v>0</v>
      </c>
      <c r="O1138" s="44">
        <f>[1]TOBEPAID!O879/1000</f>
        <v>181.75254999999999</v>
      </c>
      <c r="P1138" s="44">
        <f>[1]TOBEPAID!P879/1000</f>
        <v>0</v>
      </c>
      <c r="Q1138" s="44">
        <f>[1]TOBEPAID!Q879/1000</f>
        <v>0</v>
      </c>
      <c r="R1138" s="23">
        <v>0</v>
      </c>
      <c r="S1138" s="23">
        <f t="shared" ref="S1138:X1138" si="207">181752/1000</f>
        <v>181.75200000000001</v>
      </c>
      <c r="T1138" s="23">
        <f t="shared" si="207"/>
        <v>181.75200000000001</v>
      </c>
      <c r="U1138" s="23">
        <f t="shared" si="207"/>
        <v>181.75200000000001</v>
      </c>
      <c r="V1138" s="23">
        <f t="shared" si="207"/>
        <v>181.75200000000001</v>
      </c>
      <c r="W1138" s="23">
        <f t="shared" si="207"/>
        <v>181.75200000000001</v>
      </c>
      <c r="X1138" s="23">
        <f t="shared" si="207"/>
        <v>181.75200000000001</v>
      </c>
      <c r="Y1138" s="23">
        <v>0</v>
      </c>
      <c r="Z1138" s="23">
        <f>+D1138-Y1138</f>
        <v>0</v>
      </c>
      <c r="AA1138" s="19">
        <f>[1]TOBEPAID!AA879/1000</f>
        <v>0</v>
      </c>
      <c r="AB1138" s="19">
        <f>[1]TOBEPAID!AB879/1000</f>
        <v>0</v>
      </c>
      <c r="AC1138" s="19"/>
      <c r="AD1138" s="19"/>
    </row>
    <row r="1139" spans="1:45" ht="15.75" thickTop="1" x14ac:dyDescent="0.2">
      <c r="D1139" s="19"/>
      <c r="E1139" s="19"/>
      <c r="F1139" s="19"/>
      <c r="G1139" s="19"/>
      <c r="H1139" s="19"/>
      <c r="I1139" s="19"/>
      <c r="J1139" s="19"/>
      <c r="K1139" s="19"/>
      <c r="L1139" s="19"/>
      <c r="M1139" s="19"/>
      <c r="N1139" s="19"/>
      <c r="O1139" s="19"/>
      <c r="P1139" s="19"/>
      <c r="Q1139" s="19"/>
      <c r="R1139" s="19"/>
      <c r="S1139" s="19"/>
      <c r="T1139" s="19"/>
      <c r="U1139" s="19"/>
      <c r="V1139" s="19"/>
      <c r="W1139" s="19"/>
      <c r="X1139" s="19"/>
      <c r="Y1139" s="19"/>
      <c r="Z1139" s="19"/>
      <c r="AA1139" s="19">
        <f>[1]TOBEPAID!AA880/1000</f>
        <v>0</v>
      </c>
      <c r="AB1139" s="19">
        <f>[1]TOBEPAID!AB880/1000</f>
        <v>0</v>
      </c>
      <c r="AC1139" s="19"/>
      <c r="AD1139" s="19"/>
    </row>
    <row r="1140" spans="1:45" x14ac:dyDescent="0.2">
      <c r="D1140" s="19"/>
      <c r="E1140" s="19"/>
      <c r="F1140" s="19"/>
      <c r="G1140" s="19"/>
      <c r="H1140" s="19"/>
      <c r="I1140" s="19"/>
      <c r="J1140" s="19"/>
      <c r="K1140" s="19"/>
      <c r="L1140" s="19"/>
      <c r="M1140" s="19"/>
      <c r="N1140" s="19"/>
      <c r="O1140" s="19"/>
      <c r="P1140" s="19"/>
      <c r="Q1140" s="19"/>
      <c r="R1140" s="19"/>
      <c r="S1140" s="19"/>
      <c r="T1140" s="19"/>
      <c r="U1140" s="19"/>
      <c r="V1140" s="19"/>
      <c r="W1140" s="19"/>
      <c r="X1140" s="19"/>
      <c r="Y1140" s="19"/>
      <c r="Z1140" s="19"/>
      <c r="AA1140" s="19">
        <f>[1]TOBEPAID!AA881/1000</f>
        <v>0</v>
      </c>
      <c r="AB1140" s="19">
        <f>[1]TOBEPAID!AB881/1000</f>
        <v>0</v>
      </c>
      <c r="AC1140" s="19"/>
      <c r="AD1140" s="19"/>
    </row>
    <row r="1141" spans="1:45" x14ac:dyDescent="0.2">
      <c r="A1141" s="18">
        <v>90</v>
      </c>
      <c r="B1141" s="17" t="s">
        <v>327</v>
      </c>
      <c r="C1141" s="17" t="s">
        <v>194</v>
      </c>
      <c r="D1141" s="19">
        <f>47824960/1000</f>
        <v>47824.959999999999</v>
      </c>
      <c r="E1141" s="19">
        <f>[1]TOBEPAID!E882/1000</f>
        <v>8603</v>
      </c>
      <c r="F1141" s="19">
        <f>[1]TOBEPAID!F882/1000</f>
        <v>0</v>
      </c>
      <c r="G1141" s="19">
        <f>[1]TOBEPAID!G882/1000</f>
        <v>0</v>
      </c>
      <c r="H1141" s="19">
        <f>47824960/1000</f>
        <v>47824.959999999999</v>
      </c>
      <c r="I1141" s="19">
        <f>[1]TOBEPAID!I882/1000</f>
        <v>0</v>
      </c>
      <c r="J1141" s="19">
        <f>[1]TOBEPAID!J882/1000</f>
        <v>0</v>
      </c>
      <c r="K1141" s="19">
        <f>[1]TOBEPAID!K882/1000</f>
        <v>0</v>
      </c>
      <c r="L1141" s="19">
        <f>[1]TOBEPAID!L882/1000</f>
        <v>0</v>
      </c>
      <c r="M1141" s="19">
        <f>[1]TOBEPAID!M882/1000</f>
        <v>0</v>
      </c>
      <c r="N1141" s="19">
        <f>[1]TOBEPAID!N882/1000</f>
        <v>8603</v>
      </c>
      <c r="O1141" s="19">
        <f>[1]TOBEPAID!O882/1000</f>
        <v>0</v>
      </c>
      <c r="P1141" s="19">
        <f>[1]TOBEPAID!P882/1000</f>
        <v>0</v>
      </c>
      <c r="Q1141" s="19">
        <f>[1]TOBEPAID!Q882/1000</f>
        <v>0</v>
      </c>
      <c r="R1141" s="19">
        <v>0</v>
      </c>
      <c r="S1141" s="19">
        <f>[1]TOBEPAID!S882/1000</f>
        <v>0</v>
      </c>
      <c r="T1141" s="19">
        <f>[1]TOBEPAID!T882/1000</f>
        <v>0</v>
      </c>
      <c r="U1141" s="19">
        <f>[1]TOBEPAID!U882/1000</f>
        <v>0</v>
      </c>
      <c r="V1141" s="19">
        <f>[1]TOBEPAID!V882/1000</f>
        <v>0</v>
      </c>
      <c r="W1141" s="19">
        <f>[1]TOBEPAID!W882/1000</f>
        <v>0</v>
      </c>
      <c r="X1141" s="19">
        <f>[1]TOBEPAID!X882/1000</f>
        <v>0</v>
      </c>
      <c r="Y1141" s="19">
        <f>+H1141+R10269</f>
        <v>47824.959999999999</v>
      </c>
      <c r="Z1141" s="19">
        <f t="shared" ref="Z1141:Z1147" si="208">+D1141-Y1141</f>
        <v>0</v>
      </c>
      <c r="AA1141" s="19">
        <f>[1]TOBEPAID!AA882/1000</f>
        <v>8603</v>
      </c>
      <c r="AB1141" s="19">
        <f>[1]TOBEPAID!AB882/1000</f>
        <v>7717.4064800000006</v>
      </c>
      <c r="AC1141" s="19"/>
      <c r="AD1141" s="19"/>
    </row>
    <row r="1142" spans="1:45" x14ac:dyDescent="0.2">
      <c r="A1142" s="18"/>
      <c r="B1142" s="17"/>
      <c r="C1142" s="17" t="s">
        <v>110</v>
      </c>
      <c r="D1142" s="19">
        <f>58057000/1000</f>
        <v>58057</v>
      </c>
      <c r="E1142" s="19"/>
      <c r="F1142" s="19"/>
      <c r="G1142" s="19"/>
      <c r="H1142" s="19">
        <f>58028897/1000</f>
        <v>58028.896999999997</v>
      </c>
      <c r="I1142" s="19"/>
      <c r="J1142" s="19"/>
      <c r="K1142" s="19"/>
      <c r="L1142" s="19"/>
      <c r="M1142" s="19"/>
      <c r="N1142" s="19"/>
      <c r="O1142" s="19"/>
      <c r="P1142" s="19"/>
      <c r="Q1142" s="19"/>
      <c r="R1142" s="19">
        <v>0</v>
      </c>
      <c r="S1142" s="19"/>
      <c r="T1142" s="19"/>
      <c r="U1142" s="19"/>
      <c r="V1142" s="19"/>
      <c r="W1142" s="19"/>
      <c r="X1142" s="19"/>
      <c r="Y1142" s="19">
        <f>+H1142+R1142</f>
        <v>58028.896999999997</v>
      </c>
      <c r="Z1142" s="19">
        <f t="shared" si="208"/>
        <v>28.103000000002794</v>
      </c>
      <c r="AA1142" s="19"/>
      <c r="AB1142" s="19"/>
      <c r="AC1142" s="19"/>
      <c r="AD1142" s="19"/>
    </row>
    <row r="1143" spans="1:45" x14ac:dyDescent="0.2">
      <c r="A1143" s="18"/>
      <c r="C1143" s="20" t="s">
        <v>52</v>
      </c>
      <c r="D1143" s="19">
        <f>129384/1000</f>
        <v>129.38399999999999</v>
      </c>
      <c r="E1143" s="19">
        <f>[1]TOBEPAID!E883/1000</f>
        <v>129.38399999999999</v>
      </c>
      <c r="F1143" s="19">
        <f>[1]TOBEPAID!F883/1000</f>
        <v>0</v>
      </c>
      <c r="G1143" s="19">
        <f>[1]TOBEPAID!G883/1000</f>
        <v>0</v>
      </c>
      <c r="H1143" s="19">
        <f>129384/1000</f>
        <v>129.38399999999999</v>
      </c>
      <c r="I1143" s="19">
        <f>[1]TOBEPAID!I883/1000</f>
        <v>0</v>
      </c>
      <c r="J1143" s="19">
        <f>[1]TOBEPAID!J883/1000</f>
        <v>0</v>
      </c>
      <c r="K1143" s="19">
        <f>[1]TOBEPAID!K883/1000</f>
        <v>0</v>
      </c>
      <c r="L1143" s="19">
        <f>[1]TOBEPAID!L883/1000</f>
        <v>0</v>
      </c>
      <c r="M1143" s="19">
        <f>[1]TOBEPAID!M883/1000</f>
        <v>0</v>
      </c>
      <c r="N1143" s="19">
        <f>[1]TOBEPAID!N883/1000</f>
        <v>129.38399999999999</v>
      </c>
      <c r="O1143" s="19">
        <f>[1]TOBEPAID!O883/1000</f>
        <v>0</v>
      </c>
      <c r="P1143" s="19">
        <f>[1]TOBEPAID!P883/1000</f>
        <v>0</v>
      </c>
      <c r="Q1143" s="19">
        <f>[1]TOBEPAID!Q883/1000</f>
        <v>0</v>
      </c>
      <c r="R1143" s="19">
        <v>0</v>
      </c>
      <c r="S1143" s="19">
        <f>[1]TOBEPAID!S883/1000</f>
        <v>0</v>
      </c>
      <c r="T1143" s="19">
        <f>[1]TOBEPAID!T883/1000</f>
        <v>0</v>
      </c>
      <c r="U1143" s="19">
        <f>[1]TOBEPAID!U883/1000</f>
        <v>0</v>
      </c>
      <c r="V1143" s="19">
        <f>[1]TOBEPAID!V883/1000</f>
        <v>0</v>
      </c>
      <c r="W1143" s="19">
        <f>[1]TOBEPAID!W883/1000</f>
        <v>0</v>
      </c>
      <c r="X1143" s="19">
        <f>[1]TOBEPAID!X883/1000</f>
        <v>0</v>
      </c>
      <c r="Y1143" s="19">
        <f>+H1143+R10270</f>
        <v>129.38399999999999</v>
      </c>
      <c r="Z1143" s="19">
        <f t="shared" si="208"/>
        <v>0</v>
      </c>
      <c r="AA1143" s="19">
        <f>[1]TOBEPAID!AA883/1000</f>
        <v>129.38399999999999</v>
      </c>
      <c r="AB1143" s="19">
        <f>[1]TOBEPAID!AB883/1000</f>
        <v>0</v>
      </c>
      <c r="AC1143" s="19"/>
      <c r="AD1143" s="19"/>
    </row>
    <row r="1144" spans="1:45" x14ac:dyDescent="0.2">
      <c r="A1144" s="18"/>
      <c r="C1144" s="20" t="s">
        <v>63</v>
      </c>
      <c r="D1144" s="19">
        <f>11102774/1000</f>
        <v>11102.773999999999</v>
      </c>
      <c r="E1144" s="19"/>
      <c r="F1144" s="19"/>
      <c r="G1144" s="19"/>
      <c r="H1144" s="19">
        <f>11102774/1000</f>
        <v>11102.773999999999</v>
      </c>
      <c r="I1144" s="19"/>
      <c r="J1144" s="19"/>
      <c r="K1144" s="19"/>
      <c r="L1144" s="19"/>
      <c r="M1144" s="19"/>
      <c r="N1144" s="19"/>
      <c r="O1144" s="19"/>
      <c r="P1144" s="19"/>
      <c r="Q1144" s="19"/>
      <c r="R1144" s="19">
        <v>0</v>
      </c>
      <c r="S1144" s="19"/>
      <c r="T1144" s="19"/>
      <c r="U1144" s="19"/>
      <c r="V1144" s="19"/>
      <c r="W1144" s="19"/>
      <c r="X1144" s="19"/>
      <c r="Y1144" s="19">
        <f>+H1144+R1144</f>
        <v>11102.773999999999</v>
      </c>
      <c r="Z1144" s="19">
        <f t="shared" si="208"/>
        <v>0</v>
      </c>
      <c r="AA1144" s="19"/>
      <c r="AB1144" s="19"/>
      <c r="AC1144" s="19"/>
      <c r="AD1144" s="19"/>
    </row>
    <row r="1145" spans="1:45" x14ac:dyDescent="0.2">
      <c r="A1145" s="18"/>
      <c r="C1145" s="20" t="s">
        <v>77</v>
      </c>
      <c r="D1145" s="19">
        <f>12000000/1000</f>
        <v>12000</v>
      </c>
      <c r="E1145" s="19"/>
      <c r="F1145" s="19"/>
      <c r="G1145" s="19"/>
      <c r="H1145" s="19">
        <f>12000000/1000</f>
        <v>12000</v>
      </c>
      <c r="I1145" s="19"/>
      <c r="J1145" s="19"/>
      <c r="K1145" s="19"/>
      <c r="L1145" s="19"/>
      <c r="M1145" s="19"/>
      <c r="N1145" s="19"/>
      <c r="O1145" s="19"/>
      <c r="P1145" s="19"/>
      <c r="Q1145" s="19"/>
      <c r="R1145" s="19">
        <v>0</v>
      </c>
      <c r="S1145" s="19"/>
      <c r="T1145" s="19"/>
      <c r="U1145" s="19"/>
      <c r="V1145" s="19"/>
      <c r="W1145" s="19"/>
      <c r="X1145" s="19"/>
      <c r="Y1145" s="19">
        <f>+H1145+R1145</f>
        <v>12000</v>
      </c>
      <c r="Z1145" s="19">
        <f t="shared" si="208"/>
        <v>0</v>
      </c>
      <c r="AA1145" s="19"/>
      <c r="AB1145" s="19"/>
      <c r="AC1145" s="19"/>
      <c r="AD1145" s="19"/>
    </row>
    <row r="1146" spans="1:45" x14ac:dyDescent="0.2">
      <c r="A1146" s="18"/>
      <c r="C1146" s="17" t="s">
        <v>54</v>
      </c>
      <c r="D1146" s="19">
        <v>0</v>
      </c>
      <c r="E1146" s="19">
        <f>[1]TOBEPAID!E884/1000</f>
        <v>0</v>
      </c>
      <c r="F1146" s="19">
        <f>[1]TOBEPAID!F884/1000</f>
        <v>0</v>
      </c>
      <c r="G1146" s="19">
        <f>[1]TOBEPAID!G884/1000</f>
        <v>0</v>
      </c>
      <c r="H1146" s="19">
        <v>0</v>
      </c>
      <c r="I1146" s="19">
        <f>[1]TOBEPAID!I884/1000</f>
        <v>0</v>
      </c>
      <c r="J1146" s="19">
        <f>[1]TOBEPAID!J884/1000</f>
        <v>0</v>
      </c>
      <c r="K1146" s="19">
        <f>[1]TOBEPAID!K884/1000</f>
        <v>0</v>
      </c>
      <c r="L1146" s="19">
        <f>[1]TOBEPAID!L884/1000</f>
        <v>0</v>
      </c>
      <c r="M1146" s="19">
        <f>[1]TOBEPAID!M884/1000</f>
        <v>0</v>
      </c>
      <c r="N1146" s="19">
        <f>[1]TOBEPAID!N884/1000</f>
        <v>0</v>
      </c>
      <c r="O1146" s="19">
        <f>[1]TOBEPAID!O884/1000</f>
        <v>0</v>
      </c>
      <c r="P1146" s="19">
        <f>[1]TOBEPAID!P884/1000</f>
        <v>0</v>
      </c>
      <c r="Q1146" s="19">
        <f>[1]TOBEPAID!Q884/1000</f>
        <v>0</v>
      </c>
      <c r="R1146" s="19">
        <v>0</v>
      </c>
      <c r="S1146" s="19">
        <f>[1]TOBEPAID!S884/1000</f>
        <v>0</v>
      </c>
      <c r="T1146" s="19">
        <f>[1]TOBEPAID!T884/1000</f>
        <v>0</v>
      </c>
      <c r="U1146" s="19">
        <f>[1]TOBEPAID!U884/1000</f>
        <v>0</v>
      </c>
      <c r="V1146" s="19">
        <f>[1]TOBEPAID!V884/1000</f>
        <v>0</v>
      </c>
      <c r="W1146" s="19">
        <f>[1]TOBEPAID!W884/1000</f>
        <v>0</v>
      </c>
      <c r="X1146" s="19">
        <f>[1]TOBEPAID!X884/1000</f>
        <v>0</v>
      </c>
      <c r="Y1146" s="19">
        <f>+H1146+R10271</f>
        <v>0</v>
      </c>
      <c r="Z1146" s="19">
        <f t="shared" si="208"/>
        <v>0</v>
      </c>
      <c r="AA1146" s="19">
        <f>[1]TOBEPAID!AA884/1000</f>
        <v>0</v>
      </c>
      <c r="AB1146" s="19">
        <f>[1]TOBEPAID!AB884/1000</f>
        <v>25627.523450000004</v>
      </c>
      <c r="AC1146" s="19"/>
      <c r="AD1146" s="19"/>
    </row>
    <row r="1147" spans="1:45" x14ac:dyDescent="0.2">
      <c r="A1147" s="18"/>
      <c r="C1147" s="17" t="s">
        <v>55</v>
      </c>
      <c r="D1147" s="19">
        <v>0</v>
      </c>
      <c r="E1147" s="19">
        <f>[1]TOBEPAID!E885/1000</f>
        <v>0</v>
      </c>
      <c r="F1147" s="19">
        <f>[1]TOBEPAID!F885/1000</f>
        <v>0</v>
      </c>
      <c r="G1147" s="19">
        <f>[1]TOBEPAID!G885/1000</f>
        <v>0</v>
      </c>
      <c r="H1147" s="19">
        <v>0</v>
      </c>
      <c r="I1147" s="19">
        <f>[1]TOBEPAID!I885/1000</f>
        <v>0</v>
      </c>
      <c r="J1147" s="19">
        <f>[1]TOBEPAID!J885/1000</f>
        <v>0</v>
      </c>
      <c r="K1147" s="19">
        <f>[1]TOBEPAID!K885/1000</f>
        <v>0</v>
      </c>
      <c r="L1147" s="19">
        <f>[1]TOBEPAID!L885/1000</f>
        <v>0</v>
      </c>
      <c r="M1147" s="19">
        <f>[1]TOBEPAID!M885/1000</f>
        <v>0</v>
      </c>
      <c r="N1147" s="19">
        <f>[1]TOBEPAID!N885/1000</f>
        <v>0</v>
      </c>
      <c r="O1147" s="19">
        <f>[1]TOBEPAID!O885/1000</f>
        <v>0</v>
      </c>
      <c r="P1147" s="19">
        <f>[1]TOBEPAID!P885/1000</f>
        <v>0</v>
      </c>
      <c r="Q1147" s="19">
        <f>[1]TOBEPAID!Q885/1000</f>
        <v>0</v>
      </c>
      <c r="R1147" s="19">
        <v>0</v>
      </c>
      <c r="S1147" s="19">
        <f>[1]TOBEPAID!S885/1000</f>
        <v>0</v>
      </c>
      <c r="T1147" s="19">
        <f>[1]TOBEPAID!T885/1000</f>
        <v>0</v>
      </c>
      <c r="U1147" s="19">
        <f>[1]TOBEPAID!U885/1000</f>
        <v>0</v>
      </c>
      <c r="V1147" s="19">
        <f>[1]TOBEPAID!V885/1000</f>
        <v>0</v>
      </c>
      <c r="W1147" s="19">
        <f>[1]TOBEPAID!W885/1000</f>
        <v>0</v>
      </c>
      <c r="X1147" s="19">
        <f>[1]TOBEPAID!X885/1000</f>
        <v>0</v>
      </c>
      <c r="Y1147" s="19">
        <f>+H1147+R10272</f>
        <v>0</v>
      </c>
      <c r="Z1147" s="19">
        <f t="shared" si="208"/>
        <v>0</v>
      </c>
      <c r="AA1147" s="19">
        <f>[1]TOBEPAID!AA885/1000</f>
        <v>0</v>
      </c>
      <c r="AB1147" s="19">
        <f>[1]TOBEPAID!AB885/1000</f>
        <v>5877.0300700000007</v>
      </c>
      <c r="AC1147" s="19"/>
      <c r="AD1147" s="19"/>
    </row>
    <row r="1148" spans="1:45" x14ac:dyDescent="0.2">
      <c r="A1148" s="18"/>
      <c r="D1148" s="21" t="s">
        <v>57</v>
      </c>
      <c r="E1148" s="21" t="s">
        <v>57</v>
      </c>
      <c r="F1148" s="21" t="s">
        <v>57</v>
      </c>
      <c r="G1148" s="21"/>
      <c r="H1148" s="21" t="s">
        <v>57</v>
      </c>
      <c r="I1148" s="21" t="s">
        <v>57</v>
      </c>
      <c r="J1148" s="21" t="s">
        <v>57</v>
      </c>
      <c r="K1148" s="21" t="s">
        <v>57</v>
      </c>
      <c r="L1148" s="21" t="s">
        <v>57</v>
      </c>
      <c r="M1148" s="21"/>
      <c r="N1148" s="21" t="s">
        <v>57</v>
      </c>
      <c r="O1148" s="21" t="s">
        <v>57</v>
      </c>
      <c r="P1148" s="21" t="s">
        <v>57</v>
      </c>
      <c r="Q1148" s="21"/>
      <c r="R1148" s="21" t="s">
        <v>57</v>
      </c>
      <c r="S1148" s="21" t="s">
        <v>57</v>
      </c>
      <c r="T1148" s="21" t="s">
        <v>57</v>
      </c>
      <c r="U1148" s="21" t="s">
        <v>57</v>
      </c>
      <c r="V1148" s="21" t="s">
        <v>57</v>
      </c>
      <c r="W1148" s="21"/>
      <c r="X1148" s="21" t="s">
        <v>57</v>
      </c>
      <c r="Y1148" s="21" t="s">
        <v>57</v>
      </c>
      <c r="Z1148" s="21" t="s">
        <v>57</v>
      </c>
      <c r="AA1148" s="21" t="s">
        <v>57</v>
      </c>
      <c r="AB1148" s="21" t="s">
        <v>57</v>
      </c>
      <c r="AC1148" s="21"/>
      <c r="AD1148" s="21"/>
    </row>
    <row r="1149" spans="1:45" x14ac:dyDescent="0.2">
      <c r="A1149" s="18"/>
      <c r="D1149" s="19">
        <f>SUM(D1141:D1147)</f>
        <v>129114.118</v>
      </c>
      <c r="E1149" s="19">
        <f>SUM(E1141:E1147)</f>
        <v>8732.384</v>
      </c>
      <c r="F1149" s="19">
        <f>SUM(F1141:F1147)</f>
        <v>0</v>
      </c>
      <c r="G1149" s="19"/>
      <c r="H1149" s="19">
        <f>SUM(H1141:H1147)</f>
        <v>129086.015</v>
      </c>
      <c r="I1149" s="19">
        <f>SUM(I1141:I1147)</f>
        <v>0</v>
      </c>
      <c r="J1149" s="19">
        <f>SUM(J1141:J1147)</f>
        <v>0</v>
      </c>
      <c r="K1149" s="19">
        <f>SUM(K1141:K1147)</f>
        <v>0</v>
      </c>
      <c r="L1149" s="19">
        <f>SUM(L1141:L1147)</f>
        <v>0</v>
      </c>
      <c r="M1149" s="19"/>
      <c r="N1149" s="19">
        <f>SUM(N1141:N1147)</f>
        <v>8732.384</v>
      </c>
      <c r="O1149" s="19">
        <f>SUM(O1141:O1147)</f>
        <v>0</v>
      </c>
      <c r="P1149" s="19">
        <f>SUM(P1141:P1147)</f>
        <v>0</v>
      </c>
      <c r="Q1149" s="19"/>
      <c r="R1149" s="19">
        <f>SUM(R1141:R1147)</f>
        <v>0</v>
      </c>
      <c r="S1149" s="19">
        <f>SUM(S1141:S1147)</f>
        <v>0</v>
      </c>
      <c r="T1149" s="19">
        <f>SUM(T1141:T1147)</f>
        <v>0</v>
      </c>
      <c r="U1149" s="19">
        <f>SUM(U1141:U1147)</f>
        <v>0</v>
      </c>
      <c r="V1149" s="19">
        <f>SUM(V1141:V1147)</f>
        <v>0</v>
      </c>
      <c r="W1149" s="19"/>
      <c r="X1149" s="19">
        <f>SUM(X1141:X1147)</f>
        <v>0</v>
      </c>
      <c r="Y1149" s="19">
        <f>SUM(Y1141:Y1147)</f>
        <v>129086.015</v>
      </c>
      <c r="Z1149" s="19">
        <f>SUM(Z1141:Z1147)</f>
        <v>28.103000000002794</v>
      </c>
      <c r="AA1149" s="19">
        <f>SUM(AA1141:AA1147)</f>
        <v>8732.384</v>
      </c>
      <c r="AB1149" s="19">
        <f>SUM(AB1141:AB1147)</f>
        <v>39221.960000000006</v>
      </c>
      <c r="AC1149" s="19"/>
      <c r="AD1149" s="19"/>
    </row>
    <row r="1150" spans="1:45" x14ac:dyDescent="0.2">
      <c r="A1150" s="18"/>
      <c r="B1150" s="3" t="s">
        <v>328</v>
      </c>
      <c r="D1150" s="21" t="s">
        <v>57</v>
      </c>
      <c r="E1150" s="21" t="s">
        <v>57</v>
      </c>
      <c r="F1150" s="21" t="s">
        <v>57</v>
      </c>
      <c r="G1150" s="21"/>
      <c r="H1150" s="21" t="s">
        <v>57</v>
      </c>
      <c r="I1150" s="21" t="s">
        <v>57</v>
      </c>
      <c r="J1150" s="21" t="s">
        <v>57</v>
      </c>
      <c r="K1150" s="21" t="s">
        <v>57</v>
      </c>
      <c r="L1150" s="21" t="s">
        <v>57</v>
      </c>
      <c r="M1150" s="21"/>
      <c r="N1150" s="21" t="s">
        <v>57</v>
      </c>
      <c r="O1150" s="21" t="s">
        <v>57</v>
      </c>
      <c r="P1150" s="21" t="s">
        <v>57</v>
      </c>
      <c r="Q1150" s="21"/>
      <c r="R1150" s="21" t="s">
        <v>57</v>
      </c>
      <c r="S1150" s="21" t="s">
        <v>57</v>
      </c>
      <c r="T1150" s="21" t="s">
        <v>57</v>
      </c>
      <c r="U1150" s="21" t="s">
        <v>57</v>
      </c>
      <c r="V1150" s="21" t="s">
        <v>57</v>
      </c>
      <c r="W1150" s="21"/>
      <c r="X1150" s="21" t="s">
        <v>57</v>
      </c>
      <c r="Y1150" s="21" t="s">
        <v>57</v>
      </c>
      <c r="Z1150" s="21" t="s">
        <v>57</v>
      </c>
      <c r="AA1150" s="21" t="s">
        <v>57</v>
      </c>
      <c r="AB1150" s="21" t="s">
        <v>57</v>
      </c>
      <c r="AC1150" s="21"/>
      <c r="AD1150" s="21"/>
      <c r="AS1150" s="34">
        <f t="shared" ref="AS1150:AS1158" si="209">+AF1151-AK1151-AP1151</f>
        <v>1963239.409</v>
      </c>
    </row>
    <row r="1151" spans="1:45" ht="15.75" thickBot="1" x14ac:dyDescent="0.25">
      <c r="A1151" s="18"/>
      <c r="B1151" s="22" t="s">
        <v>58</v>
      </c>
      <c r="D1151" s="23">
        <f>[1]TOBEPAID!D889/1000</f>
        <v>508.17664000000002</v>
      </c>
      <c r="E1151" s="19">
        <f>[1]TOBEPAID!E889/1000</f>
        <v>0</v>
      </c>
      <c r="F1151" s="19">
        <f>[1]TOBEPAID!F889/1000</f>
        <v>0</v>
      </c>
      <c r="G1151" s="19">
        <f>[1]TOBEPAID!G889/1000</f>
        <v>0</v>
      </c>
      <c r="H1151" s="19"/>
      <c r="I1151" s="19">
        <f>[1]TOBEPAID!I889/1000</f>
        <v>0</v>
      </c>
      <c r="J1151" s="19">
        <f>[1]TOBEPAID!J889/1000</f>
        <v>0</v>
      </c>
      <c r="K1151" s="19">
        <f>[1]TOBEPAID!K889/1000</f>
        <v>0</v>
      </c>
      <c r="L1151" s="19">
        <f>[1]TOBEPAID!L889/1000</f>
        <v>0</v>
      </c>
      <c r="M1151" s="19">
        <f>[1]TOBEPAID!M889/1000</f>
        <v>0</v>
      </c>
      <c r="N1151" s="19">
        <f>[1]TOBEPAID!N889/1000</f>
        <v>0</v>
      </c>
      <c r="O1151" s="19">
        <f>[1]TOBEPAID!O889/1000</f>
        <v>508.17664000000002</v>
      </c>
      <c r="P1151" s="19">
        <f>[1]TOBEPAID!P889/1000</f>
        <v>0</v>
      </c>
      <c r="Q1151" s="19">
        <f>[1]TOBEPAID!Q889/1000</f>
        <v>0</v>
      </c>
      <c r="R1151" s="23">
        <f>[1]TOBEPAID!R889/1000</f>
        <v>508.17664000000002</v>
      </c>
      <c r="S1151" s="19">
        <f>[1]TOBEPAID!S889/1000</f>
        <v>0</v>
      </c>
      <c r="T1151" s="19">
        <f>[1]TOBEPAID!T889/1000</f>
        <v>0</v>
      </c>
      <c r="U1151" s="19">
        <f>[1]TOBEPAID!U889/1000</f>
        <v>0</v>
      </c>
      <c r="V1151" s="19">
        <f>[1]TOBEPAID!V889/1000</f>
        <v>0</v>
      </c>
      <c r="W1151" s="19">
        <f>[1]TOBEPAID!W889/1000</f>
        <v>0</v>
      </c>
      <c r="X1151" s="19">
        <f>[1]TOBEPAID!X889/1000</f>
        <v>0</v>
      </c>
      <c r="Y1151" s="23">
        <f t="shared" ref="Y1151:Y1156" si="210">+H1151+R1151</f>
        <v>508.17664000000002</v>
      </c>
      <c r="Z1151" s="23">
        <f>[1]TOBEPAID!Z889/1000</f>
        <v>0</v>
      </c>
      <c r="AA1151" s="19">
        <f>[1]TOBEPAID!AA889/1000</f>
        <v>0</v>
      </c>
      <c r="AB1151" s="19">
        <f>[1]TOBEPAID!AB889/1000</f>
        <v>0</v>
      </c>
      <c r="AC1151" s="19"/>
      <c r="AD1151" s="19"/>
      <c r="AF1151" s="34">
        <f t="shared" ref="AF1151:AH1152" si="211">+D1110</f>
        <v>2113239.409</v>
      </c>
      <c r="AG1151" s="34">
        <f t="shared" si="211"/>
        <v>120000</v>
      </c>
      <c r="AH1151" s="34">
        <f t="shared" si="211"/>
        <v>30000</v>
      </c>
      <c r="AI1151" s="34">
        <f>+AG1151+AH1151</f>
        <v>150000</v>
      </c>
      <c r="AJ1151" s="34">
        <f>+L1110</f>
        <v>0</v>
      </c>
      <c r="AK1151" s="34">
        <f>+AI1151+AJ1151</f>
        <v>150000</v>
      </c>
      <c r="AL1151" s="34">
        <f>+O1110</f>
        <v>0</v>
      </c>
      <c r="AM1151" s="34">
        <f>+P1110</f>
        <v>0</v>
      </c>
      <c r="AN1151" s="34">
        <f>+AL1151+AM1151</f>
        <v>0</v>
      </c>
      <c r="AO1151" s="34">
        <f>+V1110</f>
        <v>0</v>
      </c>
      <c r="AP1151" s="34">
        <f>+AN1151+AO1151</f>
        <v>0</v>
      </c>
      <c r="AQ1151" s="34">
        <f>+AI1151+AN1151</f>
        <v>150000</v>
      </c>
      <c r="AR1151" s="34">
        <f>+AF1151-AQ1151</f>
        <v>1963239.409</v>
      </c>
      <c r="AS1151" s="34">
        <f t="shared" si="209"/>
        <v>-5.0000000010186341E-4</v>
      </c>
    </row>
    <row r="1152" spans="1:45" ht="15.75" thickTop="1" x14ac:dyDescent="0.2">
      <c r="A1152" s="18">
        <v>91</v>
      </c>
      <c r="B1152" s="17" t="s">
        <v>329</v>
      </c>
      <c r="C1152" s="17" t="s">
        <v>51</v>
      </c>
      <c r="D1152" s="19">
        <f>1274903/1000</f>
        <v>1274.903</v>
      </c>
      <c r="E1152" s="19">
        <f>[1]TOBEPAID!E890/1000</f>
        <v>0</v>
      </c>
      <c r="F1152" s="19">
        <f>[1]TOBEPAID!F890/1000</f>
        <v>0</v>
      </c>
      <c r="G1152" s="19">
        <f>[1]TOBEPAID!G890/1000</f>
        <v>0</v>
      </c>
      <c r="H1152" s="19">
        <v>0</v>
      </c>
      <c r="I1152" s="19">
        <f>[1]TOBEPAID!I890/1000</f>
        <v>0</v>
      </c>
      <c r="J1152" s="19">
        <f>[1]TOBEPAID!J890/1000</f>
        <v>0</v>
      </c>
      <c r="K1152" s="19">
        <f>[1]TOBEPAID!K890/1000</f>
        <v>0</v>
      </c>
      <c r="L1152" s="19">
        <f>[1]TOBEPAID!L890/1000</f>
        <v>0</v>
      </c>
      <c r="M1152" s="19">
        <f>[1]TOBEPAID!M890/1000</f>
        <v>0</v>
      </c>
      <c r="N1152" s="19">
        <f>[1]TOBEPAID!N890/1000</f>
        <v>0</v>
      </c>
      <c r="O1152" s="19">
        <f>[1]TOBEPAID!O890/1000</f>
        <v>1274.9031699999998</v>
      </c>
      <c r="P1152" s="19">
        <f>[1]TOBEPAID!P890/1000</f>
        <v>0</v>
      </c>
      <c r="Q1152" s="19">
        <f>[1]TOBEPAID!Q890/1000</f>
        <v>0</v>
      </c>
      <c r="R1152" s="19">
        <f>1274903/1000</f>
        <v>1274.903</v>
      </c>
      <c r="S1152" s="19">
        <f>[1]TOBEPAID!S890/1000</f>
        <v>0</v>
      </c>
      <c r="T1152" s="19">
        <f>[1]TOBEPAID!T890/1000</f>
        <v>0</v>
      </c>
      <c r="U1152" s="19">
        <f>[1]TOBEPAID!U890/1000</f>
        <v>0</v>
      </c>
      <c r="V1152" s="19">
        <f>[1]TOBEPAID!V890/1000</f>
        <v>0</v>
      </c>
      <c r="W1152" s="19">
        <f>[1]TOBEPAID!W890/1000</f>
        <v>0</v>
      </c>
      <c r="X1152" s="19">
        <f>[1]TOBEPAID!X890/1000</f>
        <v>1274.9031699999998</v>
      </c>
      <c r="Y1152" s="19">
        <f t="shared" si="210"/>
        <v>1274.903</v>
      </c>
      <c r="Z1152" s="19">
        <f>+D1152-Y1152</f>
        <v>0</v>
      </c>
      <c r="AA1152" s="19">
        <f>[1]TOBEPAID!AA890/1000</f>
        <v>1274.9031699999998</v>
      </c>
      <c r="AB1152" s="19">
        <f>[1]TOBEPAID!AB890/1000</f>
        <v>0</v>
      </c>
      <c r="AC1152" s="19"/>
      <c r="AD1152" s="19"/>
      <c r="AE1152" s="25" t="s">
        <v>86</v>
      </c>
      <c r="AF1152" s="34">
        <f t="shared" si="211"/>
        <v>2722.681</v>
      </c>
      <c r="AG1152" s="34">
        <f t="shared" si="211"/>
        <v>2722.6815000000001</v>
      </c>
      <c r="AH1152" s="34">
        <f t="shared" si="211"/>
        <v>0</v>
      </c>
      <c r="AI1152" s="34">
        <f>+AG1152+AH1152</f>
        <v>2722.6815000000001</v>
      </c>
      <c r="AJ1152" s="34">
        <f>+L1111</f>
        <v>0</v>
      </c>
      <c r="AK1152" s="34">
        <f>+AI1152+AJ1152</f>
        <v>2722.6815000000001</v>
      </c>
      <c r="AL1152" s="34">
        <f>+O1111</f>
        <v>0</v>
      </c>
      <c r="AM1152" s="34">
        <f>+P1111</f>
        <v>0</v>
      </c>
      <c r="AN1152" s="34">
        <f>+AL1152+AM1152</f>
        <v>0</v>
      </c>
      <c r="AO1152" s="34">
        <f>+V1111</f>
        <v>0</v>
      </c>
      <c r="AP1152" s="34">
        <f>+AN1152+AO1152</f>
        <v>0</v>
      </c>
      <c r="AQ1152" s="34">
        <f>+AI1152+AN1152</f>
        <v>2722.6815000000001</v>
      </c>
      <c r="AR1152" s="34">
        <f>+AF1152-AQ1152</f>
        <v>-5.0000000010186341E-4</v>
      </c>
      <c r="AS1152" s="34">
        <f t="shared" si="209"/>
        <v>213804.21183000001</v>
      </c>
    </row>
    <row r="1153" spans="1:45" x14ac:dyDescent="0.2">
      <c r="A1153" s="18"/>
      <c r="C1153" s="20" t="s">
        <v>52</v>
      </c>
      <c r="D1153" s="19">
        <f>1521229/1000</f>
        <v>1521.229</v>
      </c>
      <c r="E1153" s="19">
        <f>[1]TOBEPAID!E891/1000</f>
        <v>1521.22983</v>
      </c>
      <c r="F1153" s="19">
        <f>[1]TOBEPAID!F891/1000</f>
        <v>0</v>
      </c>
      <c r="G1153" s="19">
        <f>[1]TOBEPAID!G891/1000</f>
        <v>0</v>
      </c>
      <c r="H1153" s="19">
        <f>1521229/1000</f>
        <v>1521.229</v>
      </c>
      <c r="I1153" s="19">
        <f>[1]TOBEPAID!I891/1000</f>
        <v>0</v>
      </c>
      <c r="J1153" s="19">
        <f>[1]TOBEPAID!J891/1000</f>
        <v>0</v>
      </c>
      <c r="K1153" s="19">
        <f>[1]TOBEPAID!K891/1000</f>
        <v>0</v>
      </c>
      <c r="L1153" s="19">
        <f>[1]TOBEPAID!L891/1000</f>
        <v>0</v>
      </c>
      <c r="M1153" s="19">
        <f>[1]TOBEPAID!M891/1000</f>
        <v>0</v>
      </c>
      <c r="N1153" s="19">
        <f>[1]TOBEPAID!N891/1000</f>
        <v>1521.22983</v>
      </c>
      <c r="O1153" s="19">
        <f>[1]TOBEPAID!O891/1000</f>
        <v>0</v>
      </c>
      <c r="P1153" s="19">
        <f>[1]TOBEPAID!P891/1000</f>
        <v>0</v>
      </c>
      <c r="Q1153" s="19">
        <f>[1]TOBEPAID!Q891/1000</f>
        <v>0</v>
      </c>
      <c r="R1153" s="19">
        <v>0</v>
      </c>
      <c r="S1153" s="19">
        <f>[1]TOBEPAID!S891/1000</f>
        <v>0</v>
      </c>
      <c r="T1153" s="19">
        <f>[1]TOBEPAID!T891/1000</f>
        <v>0</v>
      </c>
      <c r="U1153" s="19">
        <f>[1]TOBEPAID!U891/1000</f>
        <v>0</v>
      </c>
      <c r="V1153" s="19">
        <f>[1]TOBEPAID!V891/1000</f>
        <v>0</v>
      </c>
      <c r="W1153" s="19">
        <f>[1]TOBEPAID!W891/1000</f>
        <v>0</v>
      </c>
      <c r="X1153" s="19">
        <f>[1]TOBEPAID!X891/1000</f>
        <v>0</v>
      </c>
      <c r="Y1153" s="19">
        <f t="shared" si="210"/>
        <v>1521.229</v>
      </c>
      <c r="Z1153" s="19">
        <f>+D1153-Y1153</f>
        <v>0</v>
      </c>
      <c r="AA1153" s="19">
        <f>[1]TOBEPAID!AA891/1000</f>
        <v>1521.22983</v>
      </c>
      <c r="AB1153" s="19">
        <f>[1]TOBEPAID!AB891/1000</f>
        <v>0</v>
      </c>
      <c r="AC1153" s="19"/>
      <c r="AD1153" s="19"/>
      <c r="AE1153" s="25" t="s">
        <v>330</v>
      </c>
      <c r="AF1153" s="34">
        <f>D1107+D1119+D1130+D1141+D1152</f>
        <v>223682.11500000002</v>
      </c>
      <c r="AG1153" s="34">
        <f>E1107+E1119+E1130+E1141+E1152</f>
        <v>8603</v>
      </c>
      <c r="AH1153" s="34">
        <f>F1107+F1119+F1130+F1141+F1152</f>
        <v>0</v>
      </c>
      <c r="AI1153" s="34">
        <f>+AG1153+AH1153</f>
        <v>8603</v>
      </c>
      <c r="AJ1153" s="34">
        <f>L1107+L1119+L1130+L1141+L1152</f>
        <v>0</v>
      </c>
      <c r="AK1153" s="34">
        <f>+AI1153+AJ1153</f>
        <v>8603</v>
      </c>
      <c r="AL1153" s="34">
        <f>O1107+O1119+O1130+O1141+O1152</f>
        <v>1274.9031699999998</v>
      </c>
      <c r="AM1153" s="34">
        <f>P1107+P1119+P1130+P1141+P1152</f>
        <v>0</v>
      </c>
      <c r="AN1153" s="34">
        <f>+AL1153+AM1153</f>
        <v>1274.9031699999998</v>
      </c>
      <c r="AO1153" s="34">
        <f>V1107+V1119+V1130+V1141+V1152</f>
        <v>0</v>
      </c>
      <c r="AP1153" s="34">
        <f>+AN1153+AO1153</f>
        <v>1274.9031699999998</v>
      </c>
      <c r="AQ1153" s="34">
        <f>+AI1153+AN1153</f>
        <v>9877.9031699999996</v>
      </c>
      <c r="AR1153" s="34">
        <f>+AF1153-AQ1153</f>
        <v>213804.21183000001</v>
      </c>
      <c r="AS1153" s="34">
        <f t="shared" si="209"/>
        <v>-2.9000000004089088E-3</v>
      </c>
    </row>
    <row r="1154" spans="1:45" x14ac:dyDescent="0.2">
      <c r="A1154" s="18"/>
      <c r="C1154" s="17" t="s">
        <v>96</v>
      </c>
      <c r="D1154" s="19">
        <f>3132923/1000</f>
        <v>3132.9229999999998</v>
      </c>
      <c r="E1154" s="19">
        <f>[1]TOBEPAID!E892/1000</f>
        <v>0</v>
      </c>
      <c r="F1154" s="19">
        <f>[1]TOBEPAID!F892/1000</f>
        <v>0</v>
      </c>
      <c r="G1154" s="19">
        <f>[1]TOBEPAID!G892/1000</f>
        <v>0</v>
      </c>
      <c r="H1154" s="19">
        <v>0</v>
      </c>
      <c r="I1154" s="19">
        <f>[1]TOBEPAID!I892/1000</f>
        <v>0</v>
      </c>
      <c r="J1154" s="19">
        <f>[1]TOBEPAID!J892/1000</f>
        <v>0</v>
      </c>
      <c r="K1154" s="19">
        <f>[1]TOBEPAID!K892/1000</f>
        <v>0</v>
      </c>
      <c r="L1154" s="19">
        <f>[1]TOBEPAID!L892/1000</f>
        <v>0</v>
      </c>
      <c r="M1154" s="19">
        <f>[1]TOBEPAID!M892/1000</f>
        <v>0</v>
      </c>
      <c r="N1154" s="19">
        <f>[1]TOBEPAID!N892/1000</f>
        <v>0</v>
      </c>
      <c r="O1154" s="19">
        <f>[1]TOBEPAID!O892/1000</f>
        <v>1472.2051899999999</v>
      </c>
      <c r="P1154" s="19">
        <f>[1]TOBEPAID!P892/1000</f>
        <v>0</v>
      </c>
      <c r="Q1154" s="19">
        <f>[1]TOBEPAID!Q892/1000</f>
        <v>0</v>
      </c>
      <c r="R1154" s="19">
        <f>1817715.19/1000</f>
        <v>1817.7151899999999</v>
      </c>
      <c r="S1154" s="19">
        <f>[1]TOBEPAID!S892/1000</f>
        <v>0</v>
      </c>
      <c r="T1154" s="19">
        <f>[1]TOBEPAID!T892/1000</f>
        <v>0</v>
      </c>
      <c r="U1154" s="19">
        <f>[1]TOBEPAID!U892/1000</f>
        <v>0</v>
      </c>
      <c r="V1154" s="19">
        <f>[1]TOBEPAID!V892/1000</f>
        <v>0</v>
      </c>
      <c r="W1154" s="19">
        <f>[1]TOBEPAID!W892/1000</f>
        <v>0</v>
      </c>
      <c r="X1154" s="19">
        <f>[1]TOBEPAID!X892/1000</f>
        <v>1472.2051899999999</v>
      </c>
      <c r="Y1154" s="19">
        <f t="shared" si="210"/>
        <v>1817.7151899999999</v>
      </c>
      <c r="Z1154" s="19">
        <f>+D1154-Y1154</f>
        <v>1315.2078099999999</v>
      </c>
      <c r="AA1154" s="19">
        <f>[1]TOBEPAID!AA892/1000</f>
        <v>1472.2051899999999</v>
      </c>
      <c r="AB1154" s="19">
        <f>[1]TOBEPAID!AB892/1000</f>
        <v>1660.71786</v>
      </c>
      <c r="AC1154" s="19"/>
      <c r="AD1154" s="19"/>
      <c r="AE1154" s="25" t="s">
        <v>85</v>
      </c>
      <c r="AF1154" s="34">
        <f>D1108+D1120+D1131+D1143+D1153</f>
        <v>7887.8920000000007</v>
      </c>
      <c r="AG1154" s="34">
        <f>E1108+E1120+E1131+E1143+E1153</f>
        <v>7887.8949000000011</v>
      </c>
      <c r="AH1154" s="34">
        <f>F1108+F1120+F1131+F1143+F1153</f>
        <v>0</v>
      </c>
      <c r="AI1154" s="34">
        <f t="shared" ref="AI1154:AI1159" si="212">+AG1154+AH1154</f>
        <v>7887.8949000000011</v>
      </c>
      <c r="AJ1154" s="34">
        <f>L1108+L1120+L1131+L1143+L1153</f>
        <v>0</v>
      </c>
      <c r="AK1154" s="34">
        <f t="shared" ref="AK1154:AK1159" si="213">+AI1154+AJ1154</f>
        <v>7887.8949000000011</v>
      </c>
      <c r="AL1154" s="34">
        <f>O1108+O1120+O1131+O1143+O1153</f>
        <v>0</v>
      </c>
      <c r="AM1154" s="34">
        <f>P1108+P1120+P1131+P1143+P1153</f>
        <v>0</v>
      </c>
      <c r="AN1154" s="34">
        <f t="shared" ref="AN1154:AN1159" si="214">+AL1154+AM1154</f>
        <v>0</v>
      </c>
      <c r="AO1154" s="34">
        <f>V1108+V1120+V1131+V1143+V1153</f>
        <v>0</v>
      </c>
      <c r="AP1154" s="34">
        <f t="shared" ref="AP1154:AP1159" si="215">+AN1154+AO1154</f>
        <v>0</v>
      </c>
      <c r="AQ1154" s="34">
        <f t="shared" ref="AQ1154:AQ1159" si="216">+AI1154+AN1154</f>
        <v>7887.8949000000011</v>
      </c>
      <c r="AR1154" s="34">
        <f t="shared" ref="AR1154:AR1159" si="217">+AF1154-AQ1154</f>
        <v>-2.9000000004089088E-3</v>
      </c>
      <c r="AS1154" s="34">
        <f t="shared" si="209"/>
        <v>48918.542000000001</v>
      </c>
    </row>
    <row r="1155" spans="1:45" x14ac:dyDescent="0.2">
      <c r="A1155" s="18"/>
      <c r="C1155" s="17" t="s">
        <v>55</v>
      </c>
      <c r="D1155" s="19">
        <f>3462217/1000</f>
        <v>3462.2170000000001</v>
      </c>
      <c r="E1155" s="19">
        <f>[1]TOBEPAID!E893/1000</f>
        <v>0</v>
      </c>
      <c r="F1155" s="19">
        <f>[1]TOBEPAID!F893/1000</f>
        <v>0</v>
      </c>
      <c r="G1155" s="19">
        <f>[1]TOBEPAID!G893/1000</f>
        <v>0</v>
      </c>
      <c r="H1155" s="19">
        <v>0</v>
      </c>
      <c r="I1155" s="19">
        <f>[1]TOBEPAID!I893/1000</f>
        <v>0</v>
      </c>
      <c r="J1155" s="19">
        <f>[1]TOBEPAID!J893/1000</f>
        <v>0</v>
      </c>
      <c r="K1155" s="19">
        <f>[1]TOBEPAID!K893/1000</f>
        <v>0</v>
      </c>
      <c r="L1155" s="19">
        <f>[1]TOBEPAID!L893/1000</f>
        <v>0</v>
      </c>
      <c r="M1155" s="19">
        <f>[1]TOBEPAID!M893/1000</f>
        <v>0</v>
      </c>
      <c r="N1155" s="19">
        <f>[1]TOBEPAID!N893/1000</f>
        <v>0</v>
      </c>
      <c r="O1155" s="19">
        <f>[1]TOBEPAID!O893/1000</f>
        <v>94.015000000000001</v>
      </c>
      <c r="P1155" s="19">
        <f>[1]TOBEPAID!P893/1000</f>
        <v>0</v>
      </c>
      <c r="Q1155" s="19">
        <f>[1]TOBEPAID!Q893/1000</f>
        <v>0</v>
      </c>
      <c r="R1155" s="19">
        <f>94015/1000</f>
        <v>94.015000000000001</v>
      </c>
      <c r="S1155" s="19">
        <f>[1]TOBEPAID!S893/1000</f>
        <v>356.11799999999999</v>
      </c>
      <c r="T1155" s="19">
        <f>[1]TOBEPAID!T893/1000</f>
        <v>0</v>
      </c>
      <c r="U1155" s="19">
        <f>[1]TOBEPAID!U893/1000</f>
        <v>0</v>
      </c>
      <c r="V1155" s="19">
        <f>[1]TOBEPAID!V893/1000</f>
        <v>0</v>
      </c>
      <c r="W1155" s="19">
        <f>[1]TOBEPAID!W893/1000</f>
        <v>0</v>
      </c>
      <c r="X1155" s="19">
        <f>[1]TOBEPAID!X893/1000</f>
        <v>94.015000000000001</v>
      </c>
      <c r="Y1155" s="19">
        <f t="shared" si="210"/>
        <v>94.015000000000001</v>
      </c>
      <c r="Z1155" s="19">
        <f>+D1155-Y1155</f>
        <v>3368.2020000000002</v>
      </c>
      <c r="AA1155" s="19">
        <f>[1]TOBEPAID!AA893/1000</f>
        <v>94.015000000000001</v>
      </c>
      <c r="AB1155" s="19">
        <f>[1]TOBEPAID!AB893/1000</f>
        <v>3368.2021</v>
      </c>
      <c r="AC1155" s="19"/>
      <c r="AD1155" s="19"/>
      <c r="AE1155" s="25" t="s">
        <v>52</v>
      </c>
      <c r="AF1155" s="34">
        <f>D1113+D1121+D1132+D1146</f>
        <v>48918.542000000001</v>
      </c>
      <c r="AG1155" s="34">
        <f>E1113+E1121+E1132+E1146</f>
        <v>0</v>
      </c>
      <c r="AH1155" s="34">
        <f>F1113+F1121+F1132+F1146</f>
        <v>0</v>
      </c>
      <c r="AI1155" s="34">
        <f t="shared" si="212"/>
        <v>0</v>
      </c>
      <c r="AJ1155" s="34">
        <f>L1113+L1121+L1132+L1146</f>
        <v>0</v>
      </c>
      <c r="AK1155" s="34">
        <f t="shared" si="213"/>
        <v>0</v>
      </c>
      <c r="AL1155" s="34">
        <f>O1113+O1121+O1132+O1146</f>
        <v>0</v>
      </c>
      <c r="AM1155" s="34">
        <f>P1113+P1121+P1132+P1146</f>
        <v>0</v>
      </c>
      <c r="AN1155" s="34">
        <f t="shared" si="214"/>
        <v>0</v>
      </c>
      <c r="AO1155" s="34">
        <f>V1113+V1121+V1132+V1146</f>
        <v>0</v>
      </c>
      <c r="AP1155" s="34">
        <f t="shared" si="215"/>
        <v>0</v>
      </c>
      <c r="AQ1155" s="34">
        <f t="shared" si="216"/>
        <v>0</v>
      </c>
      <c r="AR1155" s="34">
        <f t="shared" si="217"/>
        <v>48918.542000000001</v>
      </c>
      <c r="AS1155" s="34">
        <f t="shared" si="209"/>
        <v>2191.1137400000002</v>
      </c>
    </row>
    <row r="1156" spans="1:45" x14ac:dyDescent="0.2">
      <c r="A1156" s="18"/>
      <c r="C1156" s="17" t="s">
        <v>97</v>
      </c>
      <c r="D1156" s="19">
        <f>6875465/1000</f>
        <v>6875.4650000000001</v>
      </c>
      <c r="E1156" s="19">
        <f>[1]TOBEPAID!E894/1000</f>
        <v>0</v>
      </c>
      <c r="F1156" s="19">
        <f>[1]TOBEPAID!F894/1000</f>
        <v>0</v>
      </c>
      <c r="G1156" s="19">
        <f>[1]TOBEPAID!G894/1000</f>
        <v>0</v>
      </c>
      <c r="H1156" s="19">
        <v>0</v>
      </c>
      <c r="I1156" s="19">
        <f>[1]TOBEPAID!I894/1000</f>
        <v>0</v>
      </c>
      <c r="J1156" s="19">
        <f>[1]TOBEPAID!J894/1000</f>
        <v>0</v>
      </c>
      <c r="K1156" s="19">
        <f>[1]TOBEPAID!K894/1000</f>
        <v>0</v>
      </c>
      <c r="L1156" s="19">
        <f>[1]TOBEPAID!L894/1000</f>
        <v>0</v>
      </c>
      <c r="M1156" s="19">
        <f>[1]TOBEPAID!M894/1000</f>
        <v>0</v>
      </c>
      <c r="N1156" s="19">
        <f>[1]TOBEPAID!N894/1000</f>
        <v>0</v>
      </c>
      <c r="O1156" s="19">
        <f>[1]TOBEPAID!O894/1000</f>
        <v>5603.8962599999995</v>
      </c>
      <c r="P1156" s="19">
        <f>[1]TOBEPAID!P894/1000</f>
        <v>0</v>
      </c>
      <c r="Q1156" s="19">
        <f>[1]TOBEPAID!Q894/1000</f>
        <v>0</v>
      </c>
      <c r="R1156" s="19">
        <f>5603896/1000</f>
        <v>5603.8959999999997</v>
      </c>
      <c r="S1156" s="19">
        <f>[1]TOBEPAID!S894/1000</f>
        <v>0</v>
      </c>
      <c r="T1156" s="19">
        <f>[1]TOBEPAID!T894/1000</f>
        <v>0</v>
      </c>
      <c r="U1156" s="19">
        <f>[1]TOBEPAID!U894/1000</f>
        <v>0</v>
      </c>
      <c r="V1156" s="19">
        <f>[1]TOBEPAID!V894/1000</f>
        <v>0</v>
      </c>
      <c r="W1156" s="19">
        <f>[1]TOBEPAID!W894/1000</f>
        <v>0</v>
      </c>
      <c r="X1156" s="19">
        <f>[1]TOBEPAID!X894/1000</f>
        <v>5603.8962599999995</v>
      </c>
      <c r="Y1156" s="19">
        <f t="shared" si="210"/>
        <v>5603.8959999999997</v>
      </c>
      <c r="Z1156" s="19">
        <f>+D1156-Y1156</f>
        <v>1271.5690000000004</v>
      </c>
      <c r="AA1156" s="19">
        <f>[1]TOBEPAID!AA894/1000</f>
        <v>5603.8962599999995</v>
      </c>
      <c r="AB1156" s="19">
        <f>[1]TOBEPAID!AB894/1000</f>
        <v>1271.5695200000005</v>
      </c>
      <c r="AC1156" s="19"/>
      <c r="AD1156" s="19"/>
      <c r="AE1156" s="25" t="s">
        <v>87</v>
      </c>
      <c r="AF1156" s="34">
        <f>D1114+D1122+D1134</f>
        <v>4532.2020000000002</v>
      </c>
      <c r="AG1156" s="34">
        <f>E1114+E1122+E1134</f>
        <v>0</v>
      </c>
      <c r="AH1156" s="34">
        <f>F1114+F1122+F1134</f>
        <v>0</v>
      </c>
      <c r="AI1156" s="34">
        <f t="shared" si="212"/>
        <v>0</v>
      </c>
      <c r="AJ1156" s="34">
        <f>L1114+L1122+L1134</f>
        <v>0</v>
      </c>
      <c r="AK1156" s="34">
        <f t="shared" si="213"/>
        <v>0</v>
      </c>
      <c r="AL1156" s="34">
        <f>O1114+O1122+O1134</f>
        <v>2341.08826</v>
      </c>
      <c r="AM1156" s="34">
        <f>P1114+P1122+P1134</f>
        <v>0</v>
      </c>
      <c r="AN1156" s="34">
        <f t="shared" si="214"/>
        <v>2341.08826</v>
      </c>
      <c r="AO1156" s="34">
        <f>V1114+V1122+V1134</f>
        <v>0</v>
      </c>
      <c r="AP1156" s="34">
        <f t="shared" si="215"/>
        <v>2341.08826</v>
      </c>
      <c r="AQ1156" s="34">
        <f t="shared" si="216"/>
        <v>2341.08826</v>
      </c>
      <c r="AR1156" s="34">
        <f t="shared" si="217"/>
        <v>2191.1137400000002</v>
      </c>
      <c r="AS1156" s="34">
        <f t="shared" si="209"/>
        <v>7056.2020000000002</v>
      </c>
    </row>
    <row r="1157" spans="1:45" x14ac:dyDescent="0.2">
      <c r="A1157" s="18"/>
      <c r="D1157" s="21" t="s">
        <v>57</v>
      </c>
      <c r="E1157" s="21" t="s">
        <v>57</v>
      </c>
      <c r="F1157" s="21" t="s">
        <v>57</v>
      </c>
      <c r="G1157" s="21"/>
      <c r="H1157" s="21" t="s">
        <v>57</v>
      </c>
      <c r="I1157" s="21" t="s">
        <v>57</v>
      </c>
      <c r="J1157" s="21" t="s">
        <v>57</v>
      </c>
      <c r="K1157" s="21" t="s">
        <v>57</v>
      </c>
      <c r="L1157" s="21" t="s">
        <v>57</v>
      </c>
      <c r="M1157" s="21"/>
      <c r="N1157" s="21" t="s">
        <v>57</v>
      </c>
      <c r="O1157" s="21" t="s">
        <v>57</v>
      </c>
      <c r="P1157" s="21" t="s">
        <v>57</v>
      </c>
      <c r="Q1157" s="21"/>
      <c r="R1157" s="21" t="s">
        <v>57</v>
      </c>
      <c r="S1157" s="21" t="s">
        <v>57</v>
      </c>
      <c r="T1157" s="21" t="s">
        <v>57</v>
      </c>
      <c r="U1157" s="21" t="s">
        <v>57</v>
      </c>
      <c r="V1157" s="21" t="s">
        <v>57</v>
      </c>
      <c r="W1157" s="21"/>
      <c r="X1157" s="21" t="s">
        <v>57</v>
      </c>
      <c r="Y1157" s="21" t="s">
        <v>57</v>
      </c>
      <c r="Z1157" s="21" t="s">
        <v>57</v>
      </c>
      <c r="AA1157" s="21" t="s">
        <v>57</v>
      </c>
      <c r="AB1157" s="21" t="s">
        <v>57</v>
      </c>
      <c r="AC1157" s="21"/>
      <c r="AD1157" s="21"/>
      <c r="AE1157" s="25" t="s">
        <v>331</v>
      </c>
      <c r="AF1157" s="34">
        <f>D1133+D1147+D1155</f>
        <v>7150.2170000000006</v>
      </c>
      <c r="AG1157" s="34">
        <f>E1133+E1147+E1155</f>
        <v>0</v>
      </c>
      <c r="AH1157" s="34">
        <f>F1133+F1147+F1155</f>
        <v>0</v>
      </c>
      <c r="AI1157" s="34">
        <f t="shared" si="212"/>
        <v>0</v>
      </c>
      <c r="AJ1157" s="34">
        <f>L1133+L1147+L1155</f>
        <v>0</v>
      </c>
      <c r="AK1157" s="34">
        <f t="shared" si="213"/>
        <v>0</v>
      </c>
      <c r="AL1157" s="34">
        <f>O1133+O1147+O1155</f>
        <v>94.015000000000001</v>
      </c>
      <c r="AM1157" s="34">
        <f>P1133+P1147+P1155</f>
        <v>0</v>
      </c>
      <c r="AN1157" s="34">
        <f t="shared" si="214"/>
        <v>94.015000000000001</v>
      </c>
      <c r="AO1157" s="34">
        <f>V1133+V1147+V1155</f>
        <v>0</v>
      </c>
      <c r="AP1157" s="34">
        <f t="shared" si="215"/>
        <v>94.015000000000001</v>
      </c>
      <c r="AQ1157" s="34">
        <f t="shared" si="216"/>
        <v>94.015000000000001</v>
      </c>
      <c r="AR1157" s="34">
        <f t="shared" si="217"/>
        <v>7056.2020000000002</v>
      </c>
      <c r="AS1157" s="34">
        <f t="shared" si="209"/>
        <v>1660.7178099999999</v>
      </c>
    </row>
    <row r="1158" spans="1:45" x14ac:dyDescent="0.2">
      <c r="A1158" s="18"/>
      <c r="D1158" s="19">
        <f>SUM(D1152:D1156)</f>
        <v>16266.737000000001</v>
      </c>
      <c r="E1158" s="19">
        <f>SUM(E1152:E1156)</f>
        <v>1521.22983</v>
      </c>
      <c r="F1158" s="19">
        <f>SUM(F1152:F1156)</f>
        <v>0</v>
      </c>
      <c r="G1158" s="19"/>
      <c r="H1158" s="19">
        <f>SUM(H1152:H1156)</f>
        <v>1521.229</v>
      </c>
      <c r="I1158" s="19">
        <f>SUM(I1152:I1156)</f>
        <v>0</v>
      </c>
      <c r="J1158" s="19">
        <f>SUM(J1152:J1156)</f>
        <v>0</v>
      </c>
      <c r="K1158" s="19">
        <f>SUM(K1152:K1156)</f>
        <v>0</v>
      </c>
      <c r="L1158" s="19">
        <f>SUM(L1152:L1156)</f>
        <v>0</v>
      </c>
      <c r="M1158" s="19"/>
      <c r="N1158" s="19">
        <f>SUM(N1152:N1156)</f>
        <v>1521.22983</v>
      </c>
      <c r="O1158" s="19">
        <f>SUM(O1152:O1156)</f>
        <v>8445.0196199999991</v>
      </c>
      <c r="P1158" s="19">
        <f>SUM(P1152:P1156)</f>
        <v>0</v>
      </c>
      <c r="Q1158" s="19"/>
      <c r="R1158" s="19">
        <f>SUM(R1152:R1156)</f>
        <v>8790.5291899999993</v>
      </c>
      <c r="S1158" s="19">
        <f>SUM(S1152:S1156)</f>
        <v>356.11799999999999</v>
      </c>
      <c r="T1158" s="19">
        <f>SUM(T1152:T1156)</f>
        <v>0</v>
      </c>
      <c r="U1158" s="19">
        <f>SUM(U1152:U1156)</f>
        <v>0</v>
      </c>
      <c r="V1158" s="19">
        <f>SUM(V1152:V1156)</f>
        <v>0</v>
      </c>
      <c r="W1158" s="19"/>
      <c r="X1158" s="19">
        <f>SUM(X1152:X1156)</f>
        <v>8445.0196199999991</v>
      </c>
      <c r="Y1158" s="19">
        <f>SUM(Y1152:Y1156)</f>
        <v>10311.75819</v>
      </c>
      <c r="Z1158" s="19">
        <f>SUM(Z1152:Z1156)</f>
        <v>5954.9788100000005</v>
      </c>
      <c r="AA1158" s="19">
        <f>SUM(AA1152:AA1156)</f>
        <v>9966.2494499999993</v>
      </c>
      <c r="AB1158" s="19">
        <f>SUM(AB1152:AB1156)</f>
        <v>6300.4894800000002</v>
      </c>
      <c r="AC1158" s="19"/>
      <c r="AD1158" s="19"/>
      <c r="AE1158" s="25" t="s">
        <v>55</v>
      </c>
      <c r="AF1158" s="34">
        <f>+D1154</f>
        <v>3132.9229999999998</v>
      </c>
      <c r="AG1158" s="34">
        <f>+E1154</f>
        <v>0</v>
      </c>
      <c r="AH1158" s="34">
        <f>+F1154</f>
        <v>0</v>
      </c>
      <c r="AI1158" s="34">
        <f t="shared" si="212"/>
        <v>0</v>
      </c>
      <c r="AJ1158" s="34">
        <f>+L1154</f>
        <v>0</v>
      </c>
      <c r="AK1158" s="34">
        <f t="shared" si="213"/>
        <v>0</v>
      </c>
      <c r="AL1158" s="34">
        <f>+O1154</f>
        <v>1472.2051899999999</v>
      </c>
      <c r="AM1158" s="34">
        <f>+P1154</f>
        <v>0</v>
      </c>
      <c r="AN1158" s="34">
        <f t="shared" si="214"/>
        <v>1472.2051899999999</v>
      </c>
      <c r="AO1158" s="34">
        <f>+V1154</f>
        <v>0</v>
      </c>
      <c r="AP1158" s="34">
        <f t="shared" si="215"/>
        <v>1472.2051899999999</v>
      </c>
      <c r="AQ1158" s="34">
        <f t="shared" si="216"/>
        <v>1472.2051899999999</v>
      </c>
      <c r="AR1158" s="34">
        <f t="shared" si="217"/>
        <v>1660.7178099999999</v>
      </c>
      <c r="AS1158" s="34">
        <f t="shared" si="209"/>
        <v>1271.5687400000006</v>
      </c>
    </row>
    <row r="1159" spans="1:45" x14ac:dyDescent="0.2">
      <c r="A1159" s="18"/>
      <c r="D1159" s="21" t="s">
        <v>57</v>
      </c>
      <c r="E1159" s="21" t="s">
        <v>57</v>
      </c>
      <c r="F1159" s="21" t="s">
        <v>57</v>
      </c>
      <c r="G1159" s="21"/>
      <c r="H1159" s="21" t="s">
        <v>57</v>
      </c>
      <c r="I1159" s="21" t="s">
        <v>57</v>
      </c>
      <c r="J1159" s="21" t="s">
        <v>57</v>
      </c>
      <c r="K1159" s="21" t="s">
        <v>57</v>
      </c>
      <c r="L1159" s="21" t="s">
        <v>57</v>
      </c>
      <c r="M1159" s="21"/>
      <c r="N1159" s="21" t="s">
        <v>57</v>
      </c>
      <c r="O1159" s="21" t="s">
        <v>57</v>
      </c>
      <c r="P1159" s="21" t="s">
        <v>57</v>
      </c>
      <c r="Q1159" s="21"/>
      <c r="R1159" s="21" t="s">
        <v>57</v>
      </c>
      <c r="S1159" s="21" t="s">
        <v>57</v>
      </c>
      <c r="T1159" s="21" t="s">
        <v>57</v>
      </c>
      <c r="U1159" s="21" t="s">
        <v>57</v>
      </c>
      <c r="V1159" s="21" t="s">
        <v>57</v>
      </c>
      <c r="W1159" s="21"/>
      <c r="X1159" s="21" t="s">
        <v>57</v>
      </c>
      <c r="Y1159" s="21" t="s">
        <v>57</v>
      </c>
      <c r="Z1159" s="21" t="s">
        <v>57</v>
      </c>
      <c r="AA1159" s="21" t="s">
        <v>57</v>
      </c>
      <c r="AB1159" s="21" t="s">
        <v>57</v>
      </c>
      <c r="AC1159" s="21"/>
      <c r="AD1159" s="21"/>
      <c r="AE1159" s="25" t="s">
        <v>96</v>
      </c>
      <c r="AF1159" s="34">
        <f>+D1156+D1109</f>
        <v>6875.4650000000001</v>
      </c>
      <c r="AG1159" s="34">
        <f>+E1156+E1109</f>
        <v>0</v>
      </c>
      <c r="AH1159" s="34">
        <f>+F1156</f>
        <v>0</v>
      </c>
      <c r="AI1159" s="34">
        <f t="shared" si="212"/>
        <v>0</v>
      </c>
      <c r="AJ1159" s="34">
        <f>+L1156+L1109</f>
        <v>0</v>
      </c>
      <c r="AK1159" s="34">
        <f t="shared" si="213"/>
        <v>0</v>
      </c>
      <c r="AL1159" s="34">
        <f>+O1156+O1109</f>
        <v>5603.8962599999995</v>
      </c>
      <c r="AM1159" s="34">
        <f>+P1156+P1109</f>
        <v>0</v>
      </c>
      <c r="AN1159" s="34">
        <f t="shared" si="214"/>
        <v>5603.8962599999995</v>
      </c>
      <c r="AO1159" s="34">
        <f>+V1156</f>
        <v>0</v>
      </c>
      <c r="AP1159" s="34">
        <f t="shared" si="215"/>
        <v>5603.8962599999995</v>
      </c>
      <c r="AQ1159" s="34">
        <f t="shared" si="216"/>
        <v>5603.8962599999995</v>
      </c>
      <c r="AR1159" s="34">
        <f t="shared" si="217"/>
        <v>1271.5687400000006</v>
      </c>
      <c r="AS1159" s="34">
        <f>SUM(AS1150:AS1158)</f>
        <v>2238141.7617199994</v>
      </c>
    </row>
    <row r="1160" spans="1:45" x14ac:dyDescent="0.2">
      <c r="A1160" s="18"/>
      <c r="D1160" s="21"/>
      <c r="E1160" s="30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  <c r="AB1160" s="21"/>
      <c r="AC1160" s="21"/>
      <c r="AD1160" s="21"/>
      <c r="AE1160" s="25" t="s">
        <v>97</v>
      </c>
      <c r="AF1160" s="34">
        <f t="shared" ref="AF1160:AR1160" si="218">SUM(AF1151:AF1159)</f>
        <v>2418141.446</v>
      </c>
      <c r="AG1160" s="34">
        <f t="shared" si="218"/>
        <v>139213.57640000002</v>
      </c>
      <c r="AH1160" s="34">
        <f t="shared" si="218"/>
        <v>30000</v>
      </c>
      <c r="AI1160" s="34">
        <f t="shared" si="218"/>
        <v>169213.57640000002</v>
      </c>
      <c r="AJ1160" s="34">
        <f t="shared" si="218"/>
        <v>0</v>
      </c>
      <c r="AK1160" s="34">
        <f t="shared" si="218"/>
        <v>169213.57640000002</v>
      </c>
      <c r="AL1160" s="34">
        <f t="shared" si="218"/>
        <v>10786.10788</v>
      </c>
      <c r="AM1160" s="34">
        <f t="shared" si="218"/>
        <v>0</v>
      </c>
      <c r="AN1160" s="34">
        <f t="shared" si="218"/>
        <v>10786.10788</v>
      </c>
      <c r="AO1160" s="34">
        <f t="shared" si="218"/>
        <v>0</v>
      </c>
      <c r="AP1160" s="34">
        <f t="shared" si="218"/>
        <v>10786.10788</v>
      </c>
      <c r="AQ1160" s="34">
        <f t="shared" si="218"/>
        <v>179999.68428000004</v>
      </c>
      <c r="AR1160" s="34">
        <f t="shared" si="218"/>
        <v>2238141.7617199994</v>
      </c>
      <c r="AS1160" s="34"/>
    </row>
    <row r="1161" spans="1:45" x14ac:dyDescent="0.2">
      <c r="A1161" s="18"/>
      <c r="B1161" s="17" t="s">
        <v>29</v>
      </c>
      <c r="C1161" s="17" t="s">
        <v>320</v>
      </c>
      <c r="D1161" s="19">
        <f>D1158+D1149+D1136+D1124+D1116</f>
        <v>2511301.2199999997</v>
      </c>
      <c r="E1161" s="19">
        <f>E1158+E1149+E1136+E1124+E1116</f>
        <v>139213.57640000002</v>
      </c>
      <c r="F1161" s="19">
        <f>F1158+F1149+F1136+F1124+F1116</f>
        <v>30000</v>
      </c>
      <c r="G1161" s="19"/>
      <c r="H1161" s="19">
        <f>H1158+H1149+H1136+H1124+H1116</f>
        <v>2418603.0019999999</v>
      </c>
      <c r="I1161" s="19">
        <f>I1158+I1149+I1136+I1124+I1116</f>
        <v>0</v>
      </c>
      <c r="J1161" s="19">
        <f>J1158+J1149+J1136+J1124+J1116</f>
        <v>0</v>
      </c>
      <c r="K1161" s="19">
        <f>K1158+K1149+K1136+K1124+K1116</f>
        <v>0</v>
      </c>
      <c r="L1161" s="19">
        <f>L1158+L1149+L1136+L1124+L1116</f>
        <v>0</v>
      </c>
      <c r="M1161" s="19"/>
      <c r="N1161" s="19">
        <f>N1158+N1149+N1136+N1124+N1116</f>
        <v>169213.57640000002</v>
      </c>
      <c r="O1161" s="19">
        <f>O1158+O1149+O1136+O1124+O1116</f>
        <v>10786.10788</v>
      </c>
      <c r="P1161" s="19">
        <f>P1158+P1149+P1136+P1124+P1116</f>
        <v>0</v>
      </c>
      <c r="Q1161" s="19"/>
      <c r="R1161" s="19">
        <f>R1158+R1149+R1136+R1124+R1116</f>
        <v>8822.4184699999987</v>
      </c>
      <c r="S1161" s="19">
        <f>S1158+S1149+S1136+S1124+S1116</f>
        <v>356.11799999999999</v>
      </c>
      <c r="T1161" s="19">
        <f>T1158+T1149+T1136+T1124+T1116</f>
        <v>0</v>
      </c>
      <c r="U1161" s="19">
        <f>U1158+U1149+U1136+U1124+U1116</f>
        <v>0</v>
      </c>
      <c r="V1161" s="19">
        <f>V1158+V1149+V1136+V1124+V1116</f>
        <v>0</v>
      </c>
      <c r="W1161" s="19"/>
      <c r="X1161" s="19">
        <f>X1158+X1149+X1136+X1124+X1116</f>
        <v>10786.10788</v>
      </c>
      <c r="Y1161" s="19">
        <f>Y1158+Y1149+Y1136+Y1124+Y1116</f>
        <v>2427425.4204699998</v>
      </c>
      <c r="Z1161" s="19">
        <f>Z1158+Z1149+Z1136+Z1124+Z1116</f>
        <v>83875.799530000004</v>
      </c>
      <c r="AA1161" s="19">
        <f>AA1158+AA1149+AA1136+AA1124+AA1116</f>
        <v>179999.68428000002</v>
      </c>
      <c r="AB1161" s="19">
        <f>AB1158+AB1149+AB1136+AB1124+AB1116</f>
        <v>274902.35924000002</v>
      </c>
      <c r="AC1161" s="19"/>
      <c r="AD1161" s="19"/>
      <c r="AF1161" s="34"/>
      <c r="AG1161" s="34"/>
      <c r="AH1161" s="34"/>
      <c r="AI1161" s="34"/>
      <c r="AJ1161" s="34"/>
      <c r="AK1161" s="34"/>
      <c r="AL1161" s="34"/>
      <c r="AM1161" s="34"/>
      <c r="AN1161" s="34"/>
      <c r="AO1161" s="34"/>
      <c r="AP1161" s="34"/>
      <c r="AQ1161" s="34"/>
      <c r="AR1161" s="34"/>
      <c r="AS1161" s="34"/>
    </row>
    <row r="1162" spans="1:45" x14ac:dyDescent="0.2">
      <c r="A1162" s="18"/>
      <c r="D1162" s="21" t="s">
        <v>93</v>
      </c>
      <c r="E1162" s="21" t="s">
        <v>93</v>
      </c>
      <c r="F1162" s="21" t="s">
        <v>93</v>
      </c>
      <c r="G1162" s="21"/>
      <c r="H1162" s="21" t="s">
        <v>93</v>
      </c>
      <c r="I1162" s="21" t="s">
        <v>93</v>
      </c>
      <c r="J1162" s="21" t="s">
        <v>93</v>
      </c>
      <c r="K1162" s="21" t="s">
        <v>93</v>
      </c>
      <c r="L1162" s="21" t="s">
        <v>93</v>
      </c>
      <c r="M1162" s="21"/>
      <c r="N1162" s="21" t="s">
        <v>93</v>
      </c>
      <c r="O1162" s="21" t="s">
        <v>93</v>
      </c>
      <c r="P1162" s="21" t="s">
        <v>93</v>
      </c>
      <c r="Q1162" s="21"/>
      <c r="R1162" s="21" t="s">
        <v>93</v>
      </c>
      <c r="S1162" s="21" t="s">
        <v>93</v>
      </c>
      <c r="T1162" s="21" t="s">
        <v>93</v>
      </c>
      <c r="U1162" s="21" t="s">
        <v>93</v>
      </c>
      <c r="V1162" s="21" t="s">
        <v>93</v>
      </c>
      <c r="W1162" s="21"/>
      <c r="X1162" s="21" t="s">
        <v>93</v>
      </c>
      <c r="Y1162" s="21" t="s">
        <v>93</v>
      </c>
      <c r="Z1162" s="21" t="s">
        <v>93</v>
      </c>
      <c r="AA1162" s="21" t="s">
        <v>93</v>
      </c>
      <c r="AB1162" s="21" t="s">
        <v>93</v>
      </c>
      <c r="AC1162" s="21"/>
      <c r="AD1162" s="21"/>
      <c r="AF1162" s="34"/>
      <c r="AG1162" s="34"/>
      <c r="AH1162" s="34"/>
      <c r="AI1162" s="34"/>
      <c r="AJ1162" s="34"/>
      <c r="AK1162" s="34"/>
      <c r="AL1162" s="34"/>
      <c r="AM1162" s="34"/>
      <c r="AN1162" s="34"/>
      <c r="AO1162" s="34"/>
      <c r="AP1162" s="34"/>
      <c r="AQ1162" s="34"/>
      <c r="AR1162" s="34"/>
      <c r="AS1162" s="34"/>
    </row>
    <row r="1163" spans="1:45" x14ac:dyDescent="0.2">
      <c r="C1163" s="25"/>
      <c r="D1163" s="30"/>
      <c r="E1163" s="35"/>
      <c r="F1163" s="30"/>
      <c r="G1163" s="30"/>
      <c r="H1163" s="19"/>
      <c r="I1163" s="30"/>
      <c r="J1163" s="30"/>
      <c r="K1163" s="30"/>
      <c r="L1163" s="30"/>
      <c r="M1163" s="30"/>
      <c r="N1163" s="19"/>
      <c r="O1163" s="30"/>
      <c r="P1163" s="30"/>
      <c r="Q1163" s="30"/>
      <c r="R1163" s="19"/>
      <c r="S1163" s="30"/>
      <c r="T1163" s="30"/>
      <c r="U1163" s="30"/>
      <c r="V1163" s="30"/>
      <c r="W1163" s="30"/>
      <c r="X1163" s="19"/>
      <c r="Y1163" s="19"/>
      <c r="Z1163" s="19"/>
      <c r="AA1163" s="19"/>
      <c r="AB1163" s="19"/>
      <c r="AC1163" s="19"/>
      <c r="AD1163" s="19"/>
      <c r="AF1163" s="34"/>
      <c r="AG1163" s="34"/>
      <c r="AH1163" s="34"/>
      <c r="AI1163" s="34"/>
      <c r="AJ1163" s="34"/>
      <c r="AK1163" s="34"/>
      <c r="AL1163" s="34"/>
      <c r="AM1163" s="34"/>
      <c r="AN1163" s="34"/>
      <c r="AO1163" s="34"/>
      <c r="AP1163" s="34"/>
      <c r="AQ1163" s="34"/>
      <c r="AR1163" s="34"/>
      <c r="AS1163" s="34"/>
    </row>
    <row r="1164" spans="1:45" x14ac:dyDescent="0.2">
      <c r="A1164" s="18"/>
      <c r="B1164" s="3" t="s">
        <v>332</v>
      </c>
      <c r="D1164" s="30"/>
      <c r="E1164" s="30"/>
      <c r="F1164" s="30"/>
      <c r="G1164" s="30"/>
      <c r="H1164" s="19"/>
      <c r="I1164" s="30"/>
      <c r="J1164" s="30"/>
      <c r="K1164" s="30"/>
      <c r="L1164" s="30"/>
      <c r="M1164" s="30"/>
      <c r="N1164" s="19"/>
      <c r="O1164" s="30"/>
      <c r="P1164" s="30"/>
      <c r="Q1164" s="30"/>
      <c r="R1164" s="19"/>
      <c r="S1164" s="30"/>
      <c r="T1164" s="30"/>
      <c r="U1164" s="30"/>
      <c r="V1164" s="30"/>
      <c r="W1164" s="30"/>
      <c r="X1164" s="19"/>
      <c r="Y1164" s="19"/>
      <c r="Z1164" s="19"/>
      <c r="AA1164" s="19"/>
      <c r="AB1164" s="19"/>
      <c r="AC1164" s="19"/>
      <c r="AD1164" s="19"/>
      <c r="AF1164" s="34"/>
      <c r="AG1164" s="34"/>
      <c r="AH1164" s="34"/>
      <c r="AI1164" s="34"/>
      <c r="AJ1164" s="34"/>
      <c r="AK1164" s="34"/>
      <c r="AL1164" s="34"/>
      <c r="AM1164" s="34"/>
      <c r="AN1164" s="34"/>
      <c r="AO1164" s="34"/>
      <c r="AP1164" s="34"/>
      <c r="AQ1164" s="34"/>
      <c r="AR1164" s="34"/>
      <c r="AS1164" s="34"/>
    </row>
    <row r="1165" spans="1:45" x14ac:dyDescent="0.2">
      <c r="A1165" s="18"/>
      <c r="D1165" s="30"/>
      <c r="E1165" s="30"/>
      <c r="F1165" s="30"/>
      <c r="G1165" s="30"/>
      <c r="H1165" s="19"/>
      <c r="I1165" s="30"/>
      <c r="J1165" s="30"/>
      <c r="K1165" s="30"/>
      <c r="L1165" s="30"/>
      <c r="M1165" s="30"/>
      <c r="N1165" s="19"/>
      <c r="O1165" s="30"/>
      <c r="P1165" s="30"/>
      <c r="Q1165" s="30"/>
      <c r="R1165" s="19"/>
      <c r="S1165" s="30"/>
      <c r="T1165" s="30"/>
      <c r="U1165" s="30"/>
      <c r="V1165" s="30"/>
      <c r="W1165" s="30"/>
      <c r="X1165" s="19"/>
      <c r="Y1165" s="19"/>
      <c r="Z1165" s="19"/>
      <c r="AA1165" s="19"/>
      <c r="AB1165" s="19"/>
      <c r="AC1165" s="19"/>
      <c r="AD1165" s="19"/>
      <c r="AF1165" s="34"/>
      <c r="AG1165" s="34"/>
      <c r="AH1165" s="34"/>
      <c r="AI1165" s="34"/>
      <c r="AJ1165" s="34"/>
      <c r="AK1165" s="34"/>
      <c r="AL1165" s="34"/>
      <c r="AM1165" s="34"/>
      <c r="AN1165" s="34"/>
      <c r="AO1165" s="34"/>
      <c r="AP1165" s="34"/>
      <c r="AQ1165" s="34"/>
      <c r="AR1165" s="34"/>
      <c r="AS1165" s="34"/>
    </row>
    <row r="1166" spans="1:45" x14ac:dyDescent="0.2">
      <c r="A1166" s="18">
        <v>92</v>
      </c>
      <c r="B1166" s="3" t="s">
        <v>333</v>
      </c>
      <c r="C1166" s="17" t="s">
        <v>51</v>
      </c>
      <c r="D1166" s="19">
        <f>35160320/1000</f>
        <v>35160.32</v>
      </c>
      <c r="E1166" s="19">
        <f>[1]TOBEPAID!E904/1000</f>
        <v>0</v>
      </c>
      <c r="F1166" s="19">
        <f>[1]TOBEPAID!F904/1000</f>
        <v>0</v>
      </c>
      <c r="G1166" s="19">
        <f>[1]TOBEPAID!G904/1000</f>
        <v>0</v>
      </c>
      <c r="H1166" s="19">
        <f>35015525.23/1000</f>
        <v>35015.525229999999</v>
      </c>
      <c r="I1166" s="19">
        <f>[1]TOBEPAID!I904/1000</f>
        <v>0</v>
      </c>
      <c r="J1166" s="19">
        <f>[1]TOBEPAID!J904/1000</f>
        <v>0</v>
      </c>
      <c r="K1166" s="19">
        <f>[1]TOBEPAID!K904/1000</f>
        <v>0</v>
      </c>
      <c r="L1166" s="19">
        <f>[1]TOBEPAID!L904/1000</f>
        <v>0</v>
      </c>
      <c r="M1166" s="19">
        <f>[1]TOBEPAID!M904/1000</f>
        <v>0</v>
      </c>
      <c r="N1166" s="19">
        <f>[1]TOBEPAID!N904/1000</f>
        <v>0</v>
      </c>
      <c r="O1166" s="19">
        <f>[1]TOBEPAID!O904/1000</f>
        <v>0</v>
      </c>
      <c r="P1166" s="19">
        <f>[1]TOBEPAID!P904/1000</f>
        <v>0</v>
      </c>
      <c r="Q1166" s="19">
        <f>[1]TOBEPAID!Q904/1000</f>
        <v>0</v>
      </c>
      <c r="R1166" s="19">
        <f>[1]TOBEPAID!R904/1000</f>
        <v>0</v>
      </c>
      <c r="S1166" s="19">
        <f>[1]TOBEPAID!S904/1000</f>
        <v>0</v>
      </c>
      <c r="T1166" s="19">
        <f>[1]TOBEPAID!T904/1000</f>
        <v>0</v>
      </c>
      <c r="U1166" s="19">
        <f>[1]TOBEPAID!U904/1000</f>
        <v>0</v>
      </c>
      <c r="V1166" s="19">
        <f>[1]TOBEPAID!V904/1000</f>
        <v>0</v>
      </c>
      <c r="W1166" s="19">
        <f>[1]TOBEPAID!W904/1000</f>
        <v>0</v>
      </c>
      <c r="X1166" s="19">
        <f>[1]TOBEPAID!X904/1000</f>
        <v>0</v>
      </c>
      <c r="Y1166" s="19">
        <f t="shared" ref="Y1166:Y1173" si="219">+H1166+R1166</f>
        <v>35015.525229999999</v>
      </c>
      <c r="Z1166" s="19">
        <f t="shared" ref="Z1166:Z1173" si="220">+D1166-Y1166</f>
        <v>144.79477000000043</v>
      </c>
      <c r="AA1166" s="19">
        <f>[1]TOBEPAID!AA904/1000</f>
        <v>0</v>
      </c>
      <c r="AB1166" s="19">
        <f>[1]TOBEPAID!AB904/1000</f>
        <v>0</v>
      </c>
      <c r="AC1166" s="19"/>
      <c r="AD1166" s="19"/>
      <c r="AF1166" s="34"/>
      <c r="AG1166" s="34"/>
      <c r="AH1166" s="34"/>
      <c r="AI1166" s="34"/>
      <c r="AJ1166" s="34"/>
      <c r="AK1166" s="34"/>
      <c r="AL1166" s="34"/>
      <c r="AM1166" s="34"/>
      <c r="AN1166" s="34"/>
      <c r="AO1166" s="34"/>
      <c r="AP1166" s="34"/>
      <c r="AQ1166" s="34"/>
      <c r="AR1166" s="34"/>
      <c r="AS1166" s="34"/>
    </row>
    <row r="1167" spans="1:45" x14ac:dyDescent="0.2">
      <c r="A1167" s="18"/>
      <c r="C1167" s="3" t="s">
        <v>52</v>
      </c>
      <c r="D1167" s="19">
        <f>58052/1000</f>
        <v>58.052</v>
      </c>
      <c r="E1167" s="19">
        <f>[1]TOBEPAID!E905/1000</f>
        <v>58.052</v>
      </c>
      <c r="F1167" s="19">
        <f>[1]TOBEPAID!F905/1000</f>
        <v>0</v>
      </c>
      <c r="G1167" s="19">
        <f>[1]TOBEPAID!G905/1000</f>
        <v>0</v>
      </c>
      <c r="H1167" s="19">
        <f>58052/1000</f>
        <v>58.052</v>
      </c>
      <c r="I1167" s="19">
        <f>[1]TOBEPAID!I905/1000</f>
        <v>0</v>
      </c>
      <c r="J1167" s="19">
        <f>[1]TOBEPAID!J905/1000</f>
        <v>0</v>
      </c>
      <c r="K1167" s="19">
        <f>[1]TOBEPAID!K905/1000</f>
        <v>0</v>
      </c>
      <c r="L1167" s="19">
        <f>[1]TOBEPAID!L905/1000</f>
        <v>0</v>
      </c>
      <c r="M1167" s="19">
        <f>[1]TOBEPAID!M905/1000</f>
        <v>0</v>
      </c>
      <c r="N1167" s="19">
        <f>[1]TOBEPAID!N905/1000</f>
        <v>58.052</v>
      </c>
      <c r="O1167" s="19">
        <f>[1]TOBEPAID!O905/1000</f>
        <v>0</v>
      </c>
      <c r="P1167" s="19">
        <f>[1]TOBEPAID!P905/1000</f>
        <v>0</v>
      </c>
      <c r="Q1167" s="19">
        <f>[1]TOBEPAID!Q905/1000</f>
        <v>0</v>
      </c>
      <c r="R1167" s="19">
        <f>[1]TOBEPAID!R905/1000</f>
        <v>0</v>
      </c>
      <c r="S1167" s="19">
        <f>[1]TOBEPAID!S905/1000</f>
        <v>0</v>
      </c>
      <c r="T1167" s="19">
        <f>[1]TOBEPAID!T905/1000</f>
        <v>0</v>
      </c>
      <c r="U1167" s="19">
        <f>[1]TOBEPAID!U905/1000</f>
        <v>0</v>
      </c>
      <c r="V1167" s="19">
        <f>[1]TOBEPAID!V905/1000</f>
        <v>0</v>
      </c>
      <c r="W1167" s="19">
        <f>[1]TOBEPAID!W905/1000</f>
        <v>0</v>
      </c>
      <c r="X1167" s="19">
        <f>[1]TOBEPAID!X905/1000</f>
        <v>0</v>
      </c>
      <c r="Y1167" s="19">
        <f t="shared" si="219"/>
        <v>58.052</v>
      </c>
      <c r="Z1167" s="19">
        <f t="shared" si="220"/>
        <v>0</v>
      </c>
      <c r="AA1167" s="19">
        <f>[1]TOBEPAID!AA905/1000</f>
        <v>58.052</v>
      </c>
      <c r="AB1167" s="19">
        <f>[1]TOBEPAID!AB905/1000</f>
        <v>0</v>
      </c>
      <c r="AC1167" s="19"/>
      <c r="AD1167" s="19"/>
      <c r="AF1167" s="34"/>
      <c r="AG1167" s="34"/>
      <c r="AH1167" s="34"/>
      <c r="AI1167" s="34"/>
      <c r="AJ1167" s="34"/>
      <c r="AK1167" s="34"/>
      <c r="AL1167" s="34"/>
      <c r="AM1167" s="34"/>
      <c r="AN1167" s="34"/>
      <c r="AO1167" s="34"/>
      <c r="AP1167" s="34"/>
      <c r="AQ1167" s="34"/>
      <c r="AR1167" s="34"/>
      <c r="AS1167" s="34"/>
    </row>
    <row r="1168" spans="1:45" x14ac:dyDescent="0.2">
      <c r="A1168" s="18"/>
      <c r="C1168" s="3" t="s">
        <v>160</v>
      </c>
      <c r="D1168" s="19">
        <f>39000000/1000</f>
        <v>39000</v>
      </c>
      <c r="E1168" s="19"/>
      <c r="F1168" s="19"/>
      <c r="G1168" s="19"/>
      <c r="H1168" s="19">
        <f>39000000/1000</f>
        <v>39000</v>
      </c>
      <c r="I1168" s="19"/>
      <c r="J1168" s="19"/>
      <c r="K1168" s="19"/>
      <c r="L1168" s="19"/>
      <c r="M1168" s="19"/>
      <c r="N1168" s="19"/>
      <c r="O1168" s="19"/>
      <c r="P1168" s="19"/>
      <c r="Q1168" s="19"/>
      <c r="R1168" s="19">
        <v>0</v>
      </c>
      <c r="S1168" s="19"/>
      <c r="T1168" s="19"/>
      <c r="U1168" s="19"/>
      <c r="V1168" s="19"/>
      <c r="W1168" s="19"/>
      <c r="X1168" s="19"/>
      <c r="Y1168" s="19">
        <f t="shared" si="219"/>
        <v>39000</v>
      </c>
      <c r="Z1168" s="19">
        <f t="shared" si="220"/>
        <v>0</v>
      </c>
      <c r="AA1168" s="19"/>
      <c r="AB1168" s="19"/>
      <c r="AC1168" s="19"/>
      <c r="AD1168" s="19"/>
      <c r="AF1168" s="34"/>
      <c r="AG1168" s="34"/>
      <c r="AH1168" s="34"/>
      <c r="AI1168" s="34"/>
      <c r="AJ1168" s="34"/>
      <c r="AK1168" s="34"/>
      <c r="AL1168" s="34"/>
      <c r="AM1168" s="34"/>
      <c r="AN1168" s="34"/>
      <c r="AO1168" s="34"/>
      <c r="AP1168" s="34"/>
      <c r="AQ1168" s="34"/>
      <c r="AR1168" s="34"/>
      <c r="AS1168" s="34"/>
    </row>
    <row r="1169" spans="1:45" x14ac:dyDescent="0.2">
      <c r="A1169" s="18"/>
      <c r="C1169" s="3" t="s">
        <v>181</v>
      </c>
      <c r="D1169" s="19">
        <f>378298000/1000</f>
        <v>378298</v>
      </c>
      <c r="E1169" s="19"/>
      <c r="F1169" s="19"/>
      <c r="G1169" s="19"/>
      <c r="H1169" s="19">
        <f>184114441.72/1000</f>
        <v>184114.44172</v>
      </c>
      <c r="I1169" s="19"/>
      <c r="J1169" s="19"/>
      <c r="K1169" s="19"/>
      <c r="L1169" s="19"/>
      <c r="M1169" s="19"/>
      <c r="N1169" s="19"/>
      <c r="O1169" s="19"/>
      <c r="P1169" s="19"/>
      <c r="Q1169" s="19"/>
      <c r="R1169" s="19">
        <v>0</v>
      </c>
      <c r="S1169" s="19"/>
      <c r="T1169" s="19"/>
      <c r="U1169" s="19"/>
      <c r="V1169" s="19"/>
      <c r="W1169" s="19"/>
      <c r="X1169" s="19"/>
      <c r="Y1169" s="19">
        <f>+H1169+R1169</f>
        <v>184114.44172</v>
      </c>
      <c r="Z1169" s="19">
        <f t="shared" si="220"/>
        <v>194183.55828</v>
      </c>
      <c r="AA1169" s="19"/>
      <c r="AB1169" s="19"/>
      <c r="AC1169" s="19"/>
      <c r="AD1169" s="19"/>
      <c r="AF1169" s="34"/>
      <c r="AG1169" s="34"/>
      <c r="AH1169" s="34"/>
      <c r="AI1169" s="34"/>
      <c r="AJ1169" s="34"/>
      <c r="AK1169" s="34"/>
      <c r="AL1169" s="34"/>
      <c r="AM1169" s="34"/>
      <c r="AN1169" s="34"/>
      <c r="AO1169" s="34"/>
      <c r="AP1169" s="34"/>
      <c r="AQ1169" s="34"/>
      <c r="AR1169" s="34"/>
      <c r="AS1169" s="34"/>
    </row>
    <row r="1170" spans="1:45" x14ac:dyDescent="0.2">
      <c r="A1170" s="18"/>
      <c r="C1170" s="3" t="s">
        <v>77</v>
      </c>
      <c r="D1170" s="19">
        <f>23500000/1000</f>
        <v>23500</v>
      </c>
      <c r="E1170" s="19"/>
      <c r="F1170" s="19"/>
      <c r="G1170" s="19"/>
      <c r="H1170" s="19">
        <f>23500000/1000</f>
        <v>23500</v>
      </c>
      <c r="I1170" s="19"/>
      <c r="J1170" s="19"/>
      <c r="K1170" s="19"/>
      <c r="L1170" s="19"/>
      <c r="M1170" s="19"/>
      <c r="N1170" s="19"/>
      <c r="O1170" s="19"/>
      <c r="P1170" s="19"/>
      <c r="Q1170" s="19"/>
      <c r="R1170" s="19">
        <v>0</v>
      </c>
      <c r="S1170" s="19"/>
      <c r="T1170" s="19"/>
      <c r="U1170" s="19"/>
      <c r="V1170" s="19"/>
      <c r="W1170" s="19"/>
      <c r="X1170" s="19"/>
      <c r="Y1170" s="19">
        <f t="shared" si="219"/>
        <v>23500</v>
      </c>
      <c r="Z1170" s="19">
        <f t="shared" si="220"/>
        <v>0</v>
      </c>
      <c r="AA1170" s="19"/>
      <c r="AB1170" s="19"/>
      <c r="AC1170" s="19"/>
      <c r="AD1170" s="19"/>
      <c r="AF1170" s="34"/>
      <c r="AG1170" s="34"/>
      <c r="AH1170" s="34"/>
      <c r="AI1170" s="34"/>
      <c r="AJ1170" s="34"/>
      <c r="AK1170" s="34"/>
      <c r="AL1170" s="34"/>
      <c r="AM1170" s="34"/>
      <c r="AN1170" s="34"/>
      <c r="AO1170" s="34"/>
      <c r="AP1170" s="34"/>
      <c r="AQ1170" s="34"/>
      <c r="AR1170" s="34"/>
      <c r="AS1170" s="34"/>
    </row>
    <row r="1171" spans="1:45" x14ac:dyDescent="0.2">
      <c r="A1171" s="18"/>
      <c r="C1171" s="3" t="s">
        <v>64</v>
      </c>
      <c r="D1171" s="19">
        <f>6500000/1000</f>
        <v>6500</v>
      </c>
      <c r="E1171" s="19"/>
      <c r="F1171" s="19"/>
      <c r="G1171" s="19"/>
      <c r="H1171" s="19">
        <f>6500000/1000</f>
        <v>6500</v>
      </c>
      <c r="I1171" s="19"/>
      <c r="J1171" s="19"/>
      <c r="K1171" s="19"/>
      <c r="L1171" s="19"/>
      <c r="M1171" s="19"/>
      <c r="N1171" s="19"/>
      <c r="O1171" s="19"/>
      <c r="P1171" s="19"/>
      <c r="Q1171" s="19"/>
      <c r="R1171" s="19">
        <v>0</v>
      </c>
      <c r="S1171" s="19"/>
      <c r="T1171" s="19"/>
      <c r="U1171" s="19"/>
      <c r="V1171" s="19"/>
      <c r="W1171" s="19"/>
      <c r="X1171" s="19"/>
      <c r="Y1171" s="19">
        <f>+H1171+R1171</f>
        <v>6500</v>
      </c>
      <c r="Z1171" s="19">
        <f t="shared" si="220"/>
        <v>0</v>
      </c>
      <c r="AA1171" s="19"/>
      <c r="AB1171" s="19"/>
      <c r="AC1171" s="19"/>
      <c r="AD1171" s="19"/>
      <c r="AF1171" s="34"/>
      <c r="AG1171" s="34"/>
      <c r="AH1171" s="34"/>
      <c r="AI1171" s="34"/>
      <c r="AJ1171" s="34"/>
      <c r="AK1171" s="34"/>
      <c r="AL1171" s="34"/>
      <c r="AM1171" s="34"/>
      <c r="AN1171" s="34"/>
      <c r="AO1171" s="34"/>
      <c r="AP1171" s="34"/>
      <c r="AQ1171" s="34"/>
      <c r="AR1171" s="34"/>
      <c r="AS1171" s="34"/>
    </row>
    <row r="1172" spans="1:45" x14ac:dyDescent="0.2">
      <c r="A1172" s="18"/>
      <c r="C1172" s="3" t="s">
        <v>87</v>
      </c>
      <c r="D1172" s="19">
        <v>0</v>
      </c>
      <c r="E1172" s="19">
        <f>[1]TOBEPAID!E906/1000</f>
        <v>0</v>
      </c>
      <c r="F1172" s="19">
        <f>[1]TOBEPAID!F906/1000</f>
        <v>0</v>
      </c>
      <c r="G1172" s="19">
        <f>[1]TOBEPAID!G906/1000</f>
        <v>0</v>
      </c>
      <c r="H1172" s="19">
        <v>0</v>
      </c>
      <c r="I1172" s="19">
        <f>[1]TOBEPAID!I906/1000</f>
        <v>0</v>
      </c>
      <c r="J1172" s="19">
        <f>[1]TOBEPAID!J906/1000</f>
        <v>0</v>
      </c>
      <c r="K1172" s="19">
        <f>[1]TOBEPAID!K906/1000</f>
        <v>0</v>
      </c>
      <c r="L1172" s="19">
        <f>[1]TOBEPAID!L906/1000</f>
        <v>0</v>
      </c>
      <c r="M1172" s="19">
        <f>[1]TOBEPAID!M906/1000</f>
        <v>0</v>
      </c>
      <c r="N1172" s="19">
        <f>[1]TOBEPAID!N906/1000</f>
        <v>0</v>
      </c>
      <c r="O1172" s="19">
        <f>[1]TOBEPAID!O906/1000</f>
        <v>0</v>
      </c>
      <c r="P1172" s="19">
        <f>[1]TOBEPAID!P906/1000</f>
        <v>0</v>
      </c>
      <c r="Q1172" s="19">
        <f>[1]TOBEPAID!Q906/1000</f>
        <v>0</v>
      </c>
      <c r="R1172" s="19">
        <f>[1]TOBEPAID!R906/1000</f>
        <v>0</v>
      </c>
      <c r="S1172" s="19">
        <f>[1]TOBEPAID!S906/1000</f>
        <v>0</v>
      </c>
      <c r="T1172" s="19">
        <f>[1]TOBEPAID!T906/1000</f>
        <v>0</v>
      </c>
      <c r="U1172" s="19">
        <f>[1]TOBEPAID!U906/1000</f>
        <v>0</v>
      </c>
      <c r="V1172" s="19">
        <f>[1]TOBEPAID!V906/1000</f>
        <v>0</v>
      </c>
      <c r="W1172" s="19">
        <f>[1]TOBEPAID!W906/1000</f>
        <v>0</v>
      </c>
      <c r="X1172" s="19">
        <f>[1]TOBEPAID!X906/1000</f>
        <v>0</v>
      </c>
      <c r="Y1172" s="19">
        <f t="shared" si="219"/>
        <v>0</v>
      </c>
      <c r="Z1172" s="19">
        <f t="shared" si="220"/>
        <v>0</v>
      </c>
      <c r="AA1172" s="19">
        <f>[1]TOBEPAID!AA906/1000</f>
        <v>0</v>
      </c>
      <c r="AB1172" s="19">
        <f>[1]TOBEPAID!AB906/1000</f>
        <v>35111.352610000002</v>
      </c>
      <c r="AC1172" s="19"/>
      <c r="AD1172" s="19"/>
      <c r="AF1172" s="34"/>
      <c r="AG1172" s="34"/>
      <c r="AH1172" s="34"/>
      <c r="AI1172" s="34"/>
      <c r="AJ1172" s="34"/>
      <c r="AK1172" s="34"/>
      <c r="AL1172" s="34"/>
      <c r="AM1172" s="34"/>
      <c r="AN1172" s="34"/>
      <c r="AO1172" s="34"/>
      <c r="AP1172" s="34"/>
      <c r="AQ1172" s="34"/>
      <c r="AR1172" s="34"/>
      <c r="AS1172" s="34"/>
    </row>
    <row r="1173" spans="1:45" x14ac:dyDescent="0.2">
      <c r="A1173" s="18"/>
      <c r="C1173" s="3" t="s">
        <v>88</v>
      </c>
      <c r="D1173" s="19">
        <v>0</v>
      </c>
      <c r="E1173" s="19">
        <f>[1]TOBEPAID!E907/1000</f>
        <v>0</v>
      </c>
      <c r="F1173" s="19">
        <f>[1]TOBEPAID!F907/1000</f>
        <v>0</v>
      </c>
      <c r="G1173" s="19">
        <f>[1]TOBEPAID!G907/1000</f>
        <v>0</v>
      </c>
      <c r="H1173" s="19">
        <v>0</v>
      </c>
      <c r="I1173" s="19">
        <f>[1]TOBEPAID!I907/1000</f>
        <v>0</v>
      </c>
      <c r="J1173" s="19">
        <f>[1]TOBEPAID!J907/1000</f>
        <v>0</v>
      </c>
      <c r="K1173" s="19">
        <f>[1]TOBEPAID!K907/1000</f>
        <v>0</v>
      </c>
      <c r="L1173" s="19">
        <f>[1]TOBEPAID!L907/1000</f>
        <v>0</v>
      </c>
      <c r="M1173" s="19">
        <f>[1]TOBEPAID!M907/1000</f>
        <v>0</v>
      </c>
      <c r="N1173" s="19">
        <f>[1]TOBEPAID!N907/1000</f>
        <v>0</v>
      </c>
      <c r="O1173" s="19">
        <f>[1]TOBEPAID!O907/1000</f>
        <v>0</v>
      </c>
      <c r="P1173" s="19">
        <f>[1]TOBEPAID!P907/1000</f>
        <v>0</v>
      </c>
      <c r="Q1173" s="19">
        <f>[1]TOBEPAID!Q907/1000</f>
        <v>0</v>
      </c>
      <c r="R1173" s="19">
        <f>[1]TOBEPAID!R907/1000</f>
        <v>0</v>
      </c>
      <c r="S1173" s="19">
        <f>[1]TOBEPAID!S907/1000</f>
        <v>0</v>
      </c>
      <c r="T1173" s="19">
        <f>[1]TOBEPAID!T907/1000</f>
        <v>0</v>
      </c>
      <c r="U1173" s="19">
        <f>[1]TOBEPAID!U907/1000</f>
        <v>0</v>
      </c>
      <c r="V1173" s="19">
        <f>[1]TOBEPAID!V907/1000</f>
        <v>0</v>
      </c>
      <c r="W1173" s="19">
        <f>[1]TOBEPAID!W907/1000</f>
        <v>0</v>
      </c>
      <c r="X1173" s="19">
        <f>[1]TOBEPAID!X907/1000</f>
        <v>0</v>
      </c>
      <c r="Y1173" s="19">
        <f t="shared" si="219"/>
        <v>0</v>
      </c>
      <c r="Z1173" s="19">
        <f t="shared" si="220"/>
        <v>0</v>
      </c>
      <c r="AA1173" s="19">
        <f>[1]TOBEPAID!AA907/1000</f>
        <v>0</v>
      </c>
      <c r="AB1173" s="19">
        <f>[1]TOBEPAID!AB907/1000</f>
        <v>48.96808</v>
      </c>
      <c r="AC1173" s="19"/>
      <c r="AD1173" s="19"/>
      <c r="AF1173" s="34"/>
      <c r="AG1173" s="34"/>
      <c r="AH1173" s="34"/>
      <c r="AI1173" s="34"/>
      <c r="AJ1173" s="34"/>
      <c r="AK1173" s="34"/>
      <c r="AL1173" s="34"/>
      <c r="AM1173" s="34"/>
      <c r="AN1173" s="34"/>
      <c r="AO1173" s="34"/>
      <c r="AP1173" s="34"/>
      <c r="AQ1173" s="34"/>
      <c r="AR1173" s="34"/>
      <c r="AS1173" s="34"/>
    </row>
    <row r="1174" spans="1:45" x14ac:dyDescent="0.2">
      <c r="A1174" s="18"/>
      <c r="D1174" s="21" t="s">
        <v>57</v>
      </c>
      <c r="E1174" s="21" t="s">
        <v>57</v>
      </c>
      <c r="F1174" s="21" t="s">
        <v>57</v>
      </c>
      <c r="G1174" s="21"/>
      <c r="H1174" s="21" t="s">
        <v>57</v>
      </c>
      <c r="I1174" s="21" t="s">
        <v>57</v>
      </c>
      <c r="J1174" s="21" t="s">
        <v>57</v>
      </c>
      <c r="K1174" s="21" t="s">
        <v>57</v>
      </c>
      <c r="L1174" s="21" t="s">
        <v>57</v>
      </c>
      <c r="M1174" s="21"/>
      <c r="N1174" s="21" t="s">
        <v>57</v>
      </c>
      <c r="O1174" s="21" t="s">
        <v>57</v>
      </c>
      <c r="P1174" s="21" t="s">
        <v>57</v>
      </c>
      <c r="Q1174" s="21"/>
      <c r="R1174" s="21" t="s">
        <v>57</v>
      </c>
      <c r="S1174" s="21" t="s">
        <v>57</v>
      </c>
      <c r="T1174" s="21" t="s">
        <v>57</v>
      </c>
      <c r="U1174" s="21" t="s">
        <v>57</v>
      </c>
      <c r="V1174" s="21" t="s">
        <v>57</v>
      </c>
      <c r="W1174" s="21"/>
      <c r="X1174" s="21" t="s">
        <v>57</v>
      </c>
      <c r="Y1174" s="21" t="s">
        <v>57</v>
      </c>
      <c r="Z1174" s="21" t="s">
        <v>57</v>
      </c>
      <c r="AA1174" s="21" t="s">
        <v>57</v>
      </c>
      <c r="AB1174" s="21" t="s">
        <v>57</v>
      </c>
      <c r="AC1174" s="21"/>
      <c r="AD1174" s="21"/>
      <c r="AF1174" s="34"/>
      <c r="AG1174" s="34"/>
      <c r="AH1174" s="34"/>
      <c r="AI1174" s="34"/>
      <c r="AJ1174" s="34"/>
      <c r="AK1174" s="34"/>
      <c r="AL1174" s="34"/>
      <c r="AM1174" s="34"/>
      <c r="AN1174" s="34"/>
      <c r="AO1174" s="34"/>
      <c r="AP1174" s="34"/>
      <c r="AQ1174" s="34"/>
      <c r="AR1174" s="34"/>
      <c r="AS1174" s="34"/>
    </row>
    <row r="1175" spans="1:45" x14ac:dyDescent="0.2">
      <c r="A1175" s="18"/>
      <c r="D1175" s="30">
        <f>SUM(D1166:D1173)</f>
        <v>482516.37199999997</v>
      </c>
      <c r="E1175" s="30">
        <f>SUM(E1166:E1173)</f>
        <v>58.052</v>
      </c>
      <c r="F1175" s="30">
        <f>SUM(F1166:F1173)</f>
        <v>0</v>
      </c>
      <c r="G1175" s="30"/>
      <c r="H1175" s="30">
        <f>SUM(H1166:H1173)</f>
        <v>288188.01895</v>
      </c>
      <c r="I1175" s="30">
        <f>SUM(I1166:I1173)</f>
        <v>0</v>
      </c>
      <c r="J1175" s="30">
        <f>SUM(J1166:J1173)</f>
        <v>0</v>
      </c>
      <c r="K1175" s="30">
        <f>SUM(K1166:K1173)</f>
        <v>0</v>
      </c>
      <c r="L1175" s="30">
        <f>SUM(L1166:L1173)</f>
        <v>0</v>
      </c>
      <c r="M1175" s="30"/>
      <c r="N1175" s="30">
        <f>SUM(N1166:N1173)</f>
        <v>58.052</v>
      </c>
      <c r="O1175" s="30">
        <f>SUM(O1166:O1173)</f>
        <v>0</v>
      </c>
      <c r="P1175" s="30">
        <f>SUM(P1166:P1173)</f>
        <v>0</v>
      </c>
      <c r="Q1175" s="30"/>
      <c r="R1175" s="30">
        <f>SUM(R1166:R1173)</f>
        <v>0</v>
      </c>
      <c r="S1175" s="30">
        <f>SUM(S1166:S1173)</f>
        <v>0</v>
      </c>
      <c r="T1175" s="30">
        <f>SUM(T1166:T1173)</f>
        <v>0</v>
      </c>
      <c r="U1175" s="30">
        <f>SUM(U1166:U1173)</f>
        <v>0</v>
      </c>
      <c r="V1175" s="30">
        <f>SUM(V1166:V1173)</f>
        <v>0</v>
      </c>
      <c r="W1175" s="30"/>
      <c r="X1175" s="30">
        <f>SUM(X1166:X1173)</f>
        <v>0</v>
      </c>
      <c r="Y1175" s="30">
        <f>SUM(Y1166:Y1173)</f>
        <v>288188.01895</v>
      </c>
      <c r="Z1175" s="30">
        <f>SUM(Z1166:Z1173)</f>
        <v>194328.35305000001</v>
      </c>
      <c r="AA1175" s="30">
        <f>SUM(AA1166:AA1173)</f>
        <v>58.052</v>
      </c>
      <c r="AB1175" s="30">
        <f>SUM(AB1166:AB1173)</f>
        <v>35160.32069</v>
      </c>
      <c r="AC1175" s="30"/>
      <c r="AD1175" s="30"/>
      <c r="AF1175" s="34"/>
      <c r="AG1175" s="34"/>
      <c r="AH1175" s="34"/>
      <c r="AI1175" s="34"/>
      <c r="AJ1175" s="34"/>
      <c r="AK1175" s="34"/>
      <c r="AL1175" s="34"/>
      <c r="AM1175" s="34"/>
      <c r="AN1175" s="34"/>
      <c r="AO1175" s="34"/>
      <c r="AP1175" s="34"/>
      <c r="AQ1175" s="34"/>
      <c r="AR1175" s="34"/>
      <c r="AS1175" s="34"/>
    </row>
    <row r="1176" spans="1:45" x14ac:dyDescent="0.2">
      <c r="A1176" s="18"/>
      <c r="D1176" s="21" t="s">
        <v>57</v>
      </c>
      <c r="E1176" s="21" t="s">
        <v>57</v>
      </c>
      <c r="F1176" s="21" t="s">
        <v>57</v>
      </c>
      <c r="G1176" s="21"/>
      <c r="H1176" s="21" t="s">
        <v>57</v>
      </c>
      <c r="I1176" s="21" t="s">
        <v>57</v>
      </c>
      <c r="J1176" s="21" t="s">
        <v>57</v>
      </c>
      <c r="K1176" s="21" t="s">
        <v>57</v>
      </c>
      <c r="L1176" s="21" t="s">
        <v>57</v>
      </c>
      <c r="M1176" s="21"/>
      <c r="N1176" s="21" t="s">
        <v>57</v>
      </c>
      <c r="O1176" s="21" t="s">
        <v>57</v>
      </c>
      <c r="P1176" s="21" t="s">
        <v>57</v>
      </c>
      <c r="Q1176" s="21"/>
      <c r="R1176" s="21" t="s">
        <v>57</v>
      </c>
      <c r="S1176" s="21" t="s">
        <v>57</v>
      </c>
      <c r="T1176" s="21" t="s">
        <v>57</v>
      </c>
      <c r="U1176" s="21" t="s">
        <v>57</v>
      </c>
      <c r="V1176" s="21" t="s">
        <v>57</v>
      </c>
      <c r="W1176" s="21"/>
      <c r="X1176" s="21" t="s">
        <v>57</v>
      </c>
      <c r="Y1176" s="21" t="s">
        <v>57</v>
      </c>
      <c r="Z1176" s="21" t="s">
        <v>57</v>
      </c>
      <c r="AA1176" s="21" t="s">
        <v>57</v>
      </c>
      <c r="AB1176" s="21" t="s">
        <v>57</v>
      </c>
      <c r="AC1176" s="21"/>
      <c r="AD1176" s="21"/>
      <c r="AF1176" s="34"/>
      <c r="AG1176" s="34"/>
      <c r="AH1176" s="34"/>
      <c r="AI1176" s="34"/>
      <c r="AJ1176" s="34"/>
      <c r="AK1176" s="34"/>
      <c r="AL1176" s="34"/>
      <c r="AM1176" s="34"/>
      <c r="AN1176" s="34"/>
      <c r="AO1176" s="34"/>
      <c r="AP1176" s="34"/>
      <c r="AQ1176" s="34"/>
      <c r="AR1176" s="34"/>
      <c r="AS1176" s="34"/>
    </row>
    <row r="1177" spans="1:45" x14ac:dyDescent="0.2">
      <c r="A1177" s="18">
        <v>93</v>
      </c>
      <c r="B1177" s="3" t="s">
        <v>334</v>
      </c>
      <c r="C1177" s="17" t="s">
        <v>51</v>
      </c>
      <c r="D1177" s="19">
        <f>38505985/1000</f>
        <v>38505.985000000001</v>
      </c>
      <c r="E1177" s="19">
        <f>[1]TOBEPAID!E911/1000</f>
        <v>0</v>
      </c>
      <c r="F1177" s="19">
        <f>[1]TOBEPAID!F911/1000</f>
        <v>0</v>
      </c>
      <c r="G1177" s="19">
        <f>[1]TOBEPAID!G911/1000</f>
        <v>0</v>
      </c>
      <c r="H1177" s="19">
        <f>38342715/1000</f>
        <v>38342.714999999997</v>
      </c>
      <c r="I1177" s="19">
        <f>[1]TOBEPAID!I911/1000</f>
        <v>0</v>
      </c>
      <c r="J1177" s="19">
        <f>[1]TOBEPAID!J911/1000</f>
        <v>0</v>
      </c>
      <c r="K1177" s="19">
        <f>[1]TOBEPAID!K911/1000</f>
        <v>0</v>
      </c>
      <c r="L1177" s="19">
        <f>[1]TOBEPAID!L911/1000</f>
        <v>0</v>
      </c>
      <c r="M1177" s="19">
        <f>[1]TOBEPAID!M911/1000</f>
        <v>0</v>
      </c>
      <c r="N1177" s="19">
        <f>[1]TOBEPAID!N911/1000</f>
        <v>0</v>
      </c>
      <c r="O1177" s="19">
        <f>[1]TOBEPAID!O911/1000</f>
        <v>46.483849999999997</v>
      </c>
      <c r="P1177" s="19">
        <f>[1]TOBEPAID!P911/1000</f>
        <v>0</v>
      </c>
      <c r="Q1177" s="19">
        <f>[1]TOBEPAID!Q911/1000</f>
        <v>0</v>
      </c>
      <c r="R1177" s="19">
        <f>161677/1000</f>
        <v>161.67699999999999</v>
      </c>
      <c r="S1177" s="19">
        <f>[1]TOBEPAID!S911/1000</f>
        <v>0</v>
      </c>
      <c r="T1177" s="19">
        <f>[1]TOBEPAID!T911/1000</f>
        <v>0</v>
      </c>
      <c r="U1177" s="19">
        <f>[1]TOBEPAID!U911/1000</f>
        <v>0</v>
      </c>
      <c r="V1177" s="19">
        <f>[1]TOBEPAID!V911/1000</f>
        <v>0</v>
      </c>
      <c r="W1177" s="19">
        <f>[1]TOBEPAID!W911/1000</f>
        <v>0</v>
      </c>
      <c r="X1177" s="19">
        <f>[1]TOBEPAID!X911/1000</f>
        <v>46.483849999999997</v>
      </c>
      <c r="Y1177" s="19">
        <f t="shared" ref="Y1177:Y1184" si="221">+H1177+R1177</f>
        <v>38504.392</v>
      </c>
      <c r="Z1177" s="19">
        <f t="shared" ref="Z1177:Z1182" si="222">+D1177-Y1177</f>
        <v>1.5930000000007567</v>
      </c>
      <c r="AA1177" s="19">
        <f>[1]TOBEPAID!AA911/1000</f>
        <v>46.483849999999997</v>
      </c>
      <c r="AB1177" s="19">
        <f>[1]TOBEPAID!AB911/1000</f>
        <v>26041.065079999997</v>
      </c>
      <c r="AC1177" s="19"/>
      <c r="AD1177" s="19"/>
      <c r="AF1177" s="34"/>
      <c r="AG1177" s="34"/>
      <c r="AH1177" s="34"/>
      <c r="AI1177" s="34"/>
      <c r="AJ1177" s="34"/>
      <c r="AK1177" s="34"/>
      <c r="AL1177" s="34"/>
      <c r="AM1177" s="34"/>
      <c r="AN1177" s="34"/>
      <c r="AO1177" s="34"/>
      <c r="AP1177" s="34"/>
      <c r="AQ1177" s="34"/>
      <c r="AR1177" s="34"/>
      <c r="AS1177" s="34"/>
    </row>
    <row r="1178" spans="1:45" x14ac:dyDescent="0.2">
      <c r="A1178" s="18"/>
      <c r="C1178" s="3" t="s">
        <v>67</v>
      </c>
      <c r="D1178" s="19">
        <f>677100000/1000</f>
        <v>677100</v>
      </c>
      <c r="E1178" s="19"/>
      <c r="F1178" s="19"/>
      <c r="G1178" s="19"/>
      <c r="H1178" s="19">
        <f>677100000/1000</f>
        <v>677100</v>
      </c>
      <c r="I1178" s="19"/>
      <c r="J1178" s="19"/>
      <c r="K1178" s="19"/>
      <c r="L1178" s="19"/>
      <c r="M1178" s="19"/>
      <c r="N1178" s="19"/>
      <c r="O1178" s="19"/>
      <c r="P1178" s="19"/>
      <c r="Q1178" s="19"/>
      <c r="R1178" s="19">
        <v>0</v>
      </c>
      <c r="S1178" s="19"/>
      <c r="T1178" s="19"/>
      <c r="U1178" s="19"/>
      <c r="V1178" s="19"/>
      <c r="W1178" s="19"/>
      <c r="X1178" s="19"/>
      <c r="Y1178" s="19">
        <f t="shared" si="221"/>
        <v>677100</v>
      </c>
      <c r="Z1178" s="19">
        <f t="shared" si="222"/>
        <v>0</v>
      </c>
      <c r="AA1178" s="19"/>
      <c r="AB1178" s="19"/>
      <c r="AC1178" s="19"/>
      <c r="AD1178" s="19"/>
      <c r="AF1178" s="34"/>
      <c r="AG1178" s="34"/>
      <c r="AH1178" s="34"/>
      <c r="AI1178" s="34"/>
      <c r="AJ1178" s="34"/>
      <c r="AK1178" s="34"/>
      <c r="AL1178" s="34"/>
      <c r="AM1178" s="34"/>
      <c r="AN1178" s="34"/>
      <c r="AO1178" s="34"/>
      <c r="AP1178" s="34"/>
      <c r="AQ1178" s="34"/>
      <c r="AR1178" s="34"/>
      <c r="AS1178" s="34"/>
    </row>
    <row r="1179" spans="1:45" x14ac:dyDescent="0.2">
      <c r="A1179" s="18"/>
      <c r="C1179" s="3" t="s">
        <v>181</v>
      </c>
      <c r="D1179" s="19">
        <f>189558000/1000</f>
        <v>189558</v>
      </c>
      <c r="E1179" s="19"/>
      <c r="F1179" s="19"/>
      <c r="G1179" s="19"/>
      <c r="H1179" s="19">
        <f>136637516.07/1000</f>
        <v>136637.51606999998</v>
      </c>
      <c r="I1179" s="19"/>
      <c r="J1179" s="19"/>
      <c r="K1179" s="19"/>
      <c r="L1179" s="19"/>
      <c r="M1179" s="19"/>
      <c r="N1179" s="19"/>
      <c r="O1179" s="19"/>
      <c r="P1179" s="19"/>
      <c r="Q1179" s="19"/>
      <c r="R1179" s="19">
        <v>0</v>
      </c>
      <c r="S1179" s="19"/>
      <c r="T1179" s="19"/>
      <c r="U1179" s="19"/>
      <c r="V1179" s="19"/>
      <c r="W1179" s="19"/>
      <c r="X1179" s="19"/>
      <c r="Y1179" s="19">
        <f>+H1179+R1179</f>
        <v>136637.51606999998</v>
      </c>
      <c r="Z1179" s="19">
        <f t="shared" si="222"/>
        <v>52920.483930000017</v>
      </c>
      <c r="AA1179" s="19"/>
      <c r="AB1179" s="19"/>
      <c r="AC1179" s="19"/>
      <c r="AD1179" s="19"/>
      <c r="AF1179" s="34"/>
      <c r="AG1179" s="34"/>
      <c r="AH1179" s="34"/>
      <c r="AI1179" s="34"/>
      <c r="AJ1179" s="34"/>
      <c r="AK1179" s="34"/>
      <c r="AL1179" s="34"/>
      <c r="AM1179" s="34"/>
      <c r="AN1179" s="34"/>
      <c r="AO1179" s="34"/>
      <c r="AP1179" s="34"/>
      <c r="AQ1179" s="34"/>
      <c r="AR1179" s="34"/>
      <c r="AS1179" s="34"/>
    </row>
    <row r="1180" spans="1:45" x14ac:dyDescent="0.2">
      <c r="A1180" s="18"/>
      <c r="C1180" s="3" t="s">
        <v>161</v>
      </c>
      <c r="D1180" s="19">
        <f>6638469.59/1000</f>
        <v>6638.4695899999997</v>
      </c>
      <c r="E1180" s="19"/>
      <c r="F1180" s="19"/>
      <c r="G1180" s="19"/>
      <c r="H1180" s="19">
        <f>6638469.59/1000</f>
        <v>6638.4695899999997</v>
      </c>
      <c r="I1180" s="19"/>
      <c r="J1180" s="19"/>
      <c r="K1180" s="19"/>
      <c r="L1180" s="19"/>
      <c r="M1180" s="19"/>
      <c r="N1180" s="19"/>
      <c r="O1180" s="19"/>
      <c r="P1180" s="19"/>
      <c r="Q1180" s="19"/>
      <c r="R1180" s="19">
        <v>0</v>
      </c>
      <c r="S1180" s="19"/>
      <c r="T1180" s="19"/>
      <c r="U1180" s="19"/>
      <c r="V1180" s="19"/>
      <c r="W1180" s="19"/>
      <c r="X1180" s="19"/>
      <c r="Y1180" s="19">
        <f t="shared" si="221"/>
        <v>6638.4695899999997</v>
      </c>
      <c r="Z1180" s="19">
        <f t="shared" si="222"/>
        <v>0</v>
      </c>
      <c r="AA1180" s="19"/>
      <c r="AB1180" s="19"/>
      <c r="AC1180" s="19"/>
      <c r="AD1180" s="19"/>
      <c r="AF1180" s="34"/>
      <c r="AG1180" s="34"/>
      <c r="AH1180" s="34"/>
      <c r="AI1180" s="34"/>
      <c r="AJ1180" s="34"/>
      <c r="AK1180" s="34"/>
      <c r="AL1180" s="34"/>
      <c r="AM1180" s="34"/>
      <c r="AN1180" s="34"/>
      <c r="AO1180" s="34"/>
      <c r="AP1180" s="34"/>
      <c r="AQ1180" s="34"/>
      <c r="AR1180" s="34"/>
      <c r="AS1180" s="34"/>
    </row>
    <row r="1181" spans="1:45" x14ac:dyDescent="0.2">
      <c r="A1181" s="18"/>
      <c r="C1181" s="3" t="s">
        <v>76</v>
      </c>
      <c r="D1181" s="19">
        <f>12000000/1000</f>
        <v>12000</v>
      </c>
      <c r="E1181" s="19"/>
      <c r="F1181" s="19"/>
      <c r="G1181" s="19"/>
      <c r="H1181" s="19">
        <f>12000000/1000</f>
        <v>12000</v>
      </c>
      <c r="I1181" s="19"/>
      <c r="J1181" s="19"/>
      <c r="K1181" s="19"/>
      <c r="L1181" s="19"/>
      <c r="M1181" s="19"/>
      <c r="N1181" s="19"/>
      <c r="O1181" s="19"/>
      <c r="P1181" s="19"/>
      <c r="Q1181" s="19"/>
      <c r="R1181" s="19">
        <v>0</v>
      </c>
      <c r="S1181" s="19"/>
      <c r="T1181" s="19"/>
      <c r="U1181" s="19"/>
      <c r="V1181" s="19"/>
      <c r="W1181" s="19"/>
      <c r="X1181" s="19"/>
      <c r="Y1181" s="19">
        <f t="shared" si="221"/>
        <v>12000</v>
      </c>
      <c r="Z1181" s="19">
        <f t="shared" si="222"/>
        <v>0</v>
      </c>
      <c r="AA1181" s="19"/>
      <c r="AB1181" s="19"/>
      <c r="AC1181" s="19"/>
      <c r="AD1181" s="19"/>
      <c r="AF1181" s="34"/>
      <c r="AG1181" s="34"/>
      <c r="AH1181" s="34"/>
      <c r="AI1181" s="34"/>
      <c r="AJ1181" s="34"/>
      <c r="AK1181" s="34"/>
      <c r="AL1181" s="34"/>
      <c r="AM1181" s="34"/>
      <c r="AN1181" s="34"/>
      <c r="AO1181" s="34"/>
      <c r="AP1181" s="34"/>
      <c r="AQ1181" s="34"/>
      <c r="AR1181" s="34"/>
      <c r="AS1181" s="34"/>
    </row>
    <row r="1182" spans="1:45" x14ac:dyDescent="0.2">
      <c r="A1182" s="18"/>
      <c r="C1182" s="3" t="s">
        <v>335</v>
      </c>
      <c r="D1182" s="19">
        <f>3500000/1000</f>
        <v>3500</v>
      </c>
      <c r="E1182" s="19"/>
      <c r="F1182" s="19"/>
      <c r="G1182" s="19"/>
      <c r="H1182" s="19">
        <f>3500000/1000</f>
        <v>3500</v>
      </c>
      <c r="I1182" s="19"/>
      <c r="J1182" s="19"/>
      <c r="K1182" s="19"/>
      <c r="L1182" s="19"/>
      <c r="M1182" s="19"/>
      <c r="N1182" s="19"/>
      <c r="O1182" s="19"/>
      <c r="P1182" s="19"/>
      <c r="Q1182" s="19"/>
      <c r="R1182" s="19">
        <v>0</v>
      </c>
      <c r="S1182" s="19"/>
      <c r="T1182" s="19"/>
      <c r="U1182" s="19"/>
      <c r="V1182" s="19"/>
      <c r="W1182" s="19"/>
      <c r="X1182" s="19"/>
      <c r="Y1182" s="19">
        <f t="shared" si="221"/>
        <v>3500</v>
      </c>
      <c r="Z1182" s="19">
        <f t="shared" si="222"/>
        <v>0</v>
      </c>
      <c r="AA1182" s="19"/>
      <c r="AB1182" s="19"/>
      <c r="AC1182" s="19"/>
      <c r="AD1182" s="19"/>
      <c r="AF1182" s="34"/>
      <c r="AG1182" s="34"/>
      <c r="AH1182" s="34"/>
      <c r="AI1182" s="34"/>
      <c r="AJ1182" s="34"/>
      <c r="AK1182" s="34"/>
      <c r="AL1182" s="34"/>
      <c r="AM1182" s="34"/>
      <c r="AN1182" s="34"/>
      <c r="AO1182" s="34"/>
      <c r="AP1182" s="34"/>
      <c r="AQ1182" s="34"/>
      <c r="AR1182" s="34"/>
      <c r="AS1182" s="34"/>
    </row>
    <row r="1183" spans="1:45" x14ac:dyDescent="0.2">
      <c r="A1183" s="18"/>
      <c r="C1183" s="3" t="s">
        <v>96</v>
      </c>
      <c r="D1183" s="19">
        <f>4819319/1000</f>
        <v>4819.3190000000004</v>
      </c>
      <c r="E1183" s="19">
        <f>[1]TOBEPAID!E912/1000</f>
        <v>0</v>
      </c>
      <c r="F1183" s="19">
        <f>[1]TOBEPAID!F912/1000</f>
        <v>0</v>
      </c>
      <c r="G1183" s="19">
        <f>[1]TOBEPAID!G912/1000</f>
        <v>0</v>
      </c>
      <c r="H1183" s="19">
        <v>0</v>
      </c>
      <c r="I1183" s="19">
        <f>[1]TOBEPAID!I912/1000</f>
        <v>0</v>
      </c>
      <c r="J1183" s="19">
        <f>[1]TOBEPAID!J912/1000</f>
        <v>0</v>
      </c>
      <c r="K1183" s="19">
        <f>[1]TOBEPAID!K912/1000</f>
        <v>0</v>
      </c>
      <c r="L1183" s="19">
        <f>[1]TOBEPAID!L912/1000</f>
        <v>0</v>
      </c>
      <c r="M1183" s="19">
        <f>[1]TOBEPAID!M912/1000</f>
        <v>0</v>
      </c>
      <c r="N1183" s="19">
        <f>[1]TOBEPAID!N912/1000</f>
        <v>0</v>
      </c>
      <c r="O1183" s="19">
        <f>[1]TOBEPAID!O912/1000</f>
        <v>4819.3190999999997</v>
      </c>
      <c r="P1183" s="19">
        <f>[1]TOBEPAID!P912/1000</f>
        <v>0</v>
      </c>
      <c r="Q1183" s="19">
        <f>[1]TOBEPAID!Q912/1000</f>
        <v>0</v>
      </c>
      <c r="R1183" s="19">
        <f>[1]TOBEPAID!R912/1000</f>
        <v>4819.3190999999997</v>
      </c>
      <c r="S1183" s="19">
        <f>[1]TOBEPAID!S912/1000</f>
        <v>0</v>
      </c>
      <c r="T1183" s="19">
        <f>[1]TOBEPAID!T912/1000</f>
        <v>0</v>
      </c>
      <c r="U1183" s="19">
        <f>[1]TOBEPAID!U912/1000</f>
        <v>0</v>
      </c>
      <c r="V1183" s="19">
        <f>[1]TOBEPAID!V912/1000</f>
        <v>0</v>
      </c>
      <c r="W1183" s="19">
        <f>[1]TOBEPAID!W912/1000</f>
        <v>0</v>
      </c>
      <c r="X1183" s="19">
        <f>[1]TOBEPAID!X912/1000</f>
        <v>4819.3190999999997</v>
      </c>
      <c r="Y1183" s="19">
        <f t="shared" si="221"/>
        <v>4819.3190999999997</v>
      </c>
      <c r="Z1183" s="19">
        <f>+Y1183-D1183</f>
        <v>9.999999929277692E-5</v>
      </c>
      <c r="AA1183" s="19">
        <f>[1]TOBEPAID!AA912/1000</f>
        <v>4819.3190999999997</v>
      </c>
      <c r="AB1183" s="19">
        <f>[1]TOBEPAID!AB912/1000</f>
        <v>19056.906149999999</v>
      </c>
      <c r="AC1183" s="19"/>
      <c r="AD1183" s="19"/>
      <c r="AF1183" s="34"/>
      <c r="AG1183" s="34"/>
      <c r="AH1183" s="34"/>
      <c r="AI1183" s="34"/>
      <c r="AJ1183" s="34"/>
      <c r="AK1183" s="34"/>
      <c r="AL1183" s="34"/>
      <c r="AM1183" s="34"/>
      <c r="AN1183" s="34"/>
      <c r="AO1183" s="34"/>
      <c r="AP1183" s="34"/>
      <c r="AQ1183" s="34"/>
      <c r="AR1183" s="34"/>
      <c r="AS1183" s="34"/>
    </row>
    <row r="1184" spans="1:45" x14ac:dyDescent="0.2">
      <c r="A1184" s="18"/>
      <c r="C1184" s="3" t="s">
        <v>97</v>
      </c>
      <c r="D1184" s="19">
        <f>10700263/1000</f>
        <v>10700.263000000001</v>
      </c>
      <c r="E1184" s="19">
        <f>[1]TOBEPAID!E913/1000</f>
        <v>0</v>
      </c>
      <c r="F1184" s="19">
        <f>[1]TOBEPAID!F913/1000</f>
        <v>0</v>
      </c>
      <c r="G1184" s="19">
        <f>[1]TOBEPAID!G913/1000</f>
        <v>0</v>
      </c>
      <c r="H1184" s="19">
        <v>0</v>
      </c>
      <c r="I1184" s="19">
        <f>[1]TOBEPAID!I913/1000</f>
        <v>0</v>
      </c>
      <c r="J1184" s="19">
        <f>[1]TOBEPAID!J913/1000</f>
        <v>0</v>
      </c>
      <c r="K1184" s="19">
        <f>[1]TOBEPAID!K913/1000</f>
        <v>0</v>
      </c>
      <c r="L1184" s="19">
        <f>[1]TOBEPAID!L913/1000</f>
        <v>0</v>
      </c>
      <c r="M1184" s="19">
        <f>[1]TOBEPAID!M913/1000</f>
        <v>0</v>
      </c>
      <c r="N1184" s="19">
        <f>[1]TOBEPAID!N913/1000</f>
        <v>0</v>
      </c>
      <c r="O1184" s="19">
        <f>[1]TOBEPAID!O913/1000</f>
        <v>10700.26303</v>
      </c>
      <c r="P1184" s="19">
        <f>[1]TOBEPAID!P913/1000</f>
        <v>0</v>
      </c>
      <c r="Q1184" s="19">
        <f>[1]TOBEPAID!Q913/1000</f>
        <v>0</v>
      </c>
      <c r="R1184" s="19">
        <f>[1]TOBEPAID!R913/1000</f>
        <v>10700.26303</v>
      </c>
      <c r="S1184" s="19">
        <f>[1]TOBEPAID!S913/1000</f>
        <v>0</v>
      </c>
      <c r="T1184" s="19">
        <f>[1]TOBEPAID!T913/1000</f>
        <v>0</v>
      </c>
      <c r="U1184" s="19">
        <f>[1]TOBEPAID!U913/1000</f>
        <v>0</v>
      </c>
      <c r="V1184" s="19">
        <f>[1]TOBEPAID!V913/1000</f>
        <v>0</v>
      </c>
      <c r="W1184" s="19">
        <f>[1]TOBEPAID!W913/1000</f>
        <v>0</v>
      </c>
      <c r="X1184" s="19">
        <f>[1]TOBEPAID!X913/1000</f>
        <v>10700.26303</v>
      </c>
      <c r="Y1184" s="19">
        <f t="shared" si="221"/>
        <v>10700.26303</v>
      </c>
      <c r="Z1184" s="19">
        <f>+Y1184-D1184</f>
        <v>2.9999999242136255E-5</v>
      </c>
      <c r="AA1184" s="19">
        <f>[1]TOBEPAID!AA913/1000</f>
        <v>10700.26303</v>
      </c>
      <c r="AB1184" s="19">
        <f>[1]TOBEPAID!AB913/1000</f>
        <v>0</v>
      </c>
      <c r="AC1184" s="19"/>
      <c r="AD1184" s="19"/>
      <c r="AF1184" s="34"/>
      <c r="AG1184" s="34"/>
      <c r="AH1184" s="34"/>
      <c r="AI1184" s="34"/>
      <c r="AJ1184" s="34"/>
      <c r="AK1184" s="34"/>
      <c r="AL1184" s="34"/>
      <c r="AM1184" s="34"/>
      <c r="AN1184" s="34"/>
      <c r="AO1184" s="34"/>
      <c r="AP1184" s="34"/>
      <c r="AQ1184" s="34"/>
      <c r="AR1184" s="34"/>
      <c r="AS1184" s="34"/>
    </row>
    <row r="1185" spans="1:45" x14ac:dyDescent="0.2">
      <c r="A1185" s="18"/>
      <c r="D1185" s="21" t="s">
        <v>57</v>
      </c>
      <c r="E1185" s="21" t="s">
        <v>57</v>
      </c>
      <c r="F1185" s="21" t="s">
        <v>57</v>
      </c>
      <c r="G1185" s="21"/>
      <c r="H1185" s="21" t="s">
        <v>57</v>
      </c>
      <c r="I1185" s="21" t="s">
        <v>57</v>
      </c>
      <c r="J1185" s="21" t="s">
        <v>57</v>
      </c>
      <c r="K1185" s="21" t="s">
        <v>57</v>
      </c>
      <c r="L1185" s="21" t="s">
        <v>57</v>
      </c>
      <c r="M1185" s="21"/>
      <c r="N1185" s="21" t="s">
        <v>57</v>
      </c>
      <c r="O1185" s="21" t="s">
        <v>57</v>
      </c>
      <c r="P1185" s="21" t="s">
        <v>57</v>
      </c>
      <c r="Q1185" s="21"/>
      <c r="R1185" s="21" t="s">
        <v>57</v>
      </c>
      <c r="S1185" s="21" t="s">
        <v>57</v>
      </c>
      <c r="T1185" s="21" t="s">
        <v>57</v>
      </c>
      <c r="U1185" s="21" t="s">
        <v>57</v>
      </c>
      <c r="V1185" s="21" t="s">
        <v>57</v>
      </c>
      <c r="W1185" s="21"/>
      <c r="X1185" s="21" t="s">
        <v>57</v>
      </c>
      <c r="Y1185" s="21" t="s">
        <v>57</v>
      </c>
      <c r="Z1185" s="21" t="s">
        <v>57</v>
      </c>
      <c r="AA1185" s="21" t="s">
        <v>57</v>
      </c>
      <c r="AB1185" s="21" t="s">
        <v>57</v>
      </c>
      <c r="AC1185" s="21"/>
      <c r="AD1185" s="21"/>
      <c r="AF1185" s="34"/>
      <c r="AG1185" s="34"/>
      <c r="AH1185" s="34"/>
      <c r="AI1185" s="34"/>
      <c r="AJ1185" s="34"/>
      <c r="AK1185" s="34"/>
      <c r="AL1185" s="34"/>
      <c r="AM1185" s="34"/>
      <c r="AN1185" s="34"/>
      <c r="AO1185" s="34"/>
      <c r="AP1185" s="34"/>
      <c r="AQ1185" s="34"/>
      <c r="AR1185" s="34"/>
      <c r="AS1185" s="34"/>
    </row>
    <row r="1186" spans="1:45" x14ac:dyDescent="0.2">
      <c r="A1186" s="18"/>
      <c r="D1186" s="30">
        <f>SUM(D1177:D1184)</f>
        <v>942822.03659000003</v>
      </c>
      <c r="E1186" s="30">
        <f>SUM(E1177:E1184)</f>
        <v>0</v>
      </c>
      <c r="F1186" s="30">
        <f>SUM(F1177:F1184)</f>
        <v>0</v>
      </c>
      <c r="G1186" s="30"/>
      <c r="H1186" s="30">
        <f>SUM(H1177:H1184)</f>
        <v>874218.70065999997</v>
      </c>
      <c r="I1186" s="30">
        <f>SUM(I1177:I1184)</f>
        <v>0</v>
      </c>
      <c r="J1186" s="30">
        <f>SUM(J1177:J1184)</f>
        <v>0</v>
      </c>
      <c r="K1186" s="30">
        <f>SUM(K1177:K1184)</f>
        <v>0</v>
      </c>
      <c r="L1186" s="30">
        <f>SUM(L1177:L1184)</f>
        <v>0</v>
      </c>
      <c r="M1186" s="30"/>
      <c r="N1186" s="30">
        <f>SUM(N1177:N1184)</f>
        <v>0</v>
      </c>
      <c r="O1186" s="30">
        <f>SUM(O1177:O1184)</f>
        <v>15566.065979999999</v>
      </c>
      <c r="P1186" s="30">
        <f>SUM(P1177:P1184)</f>
        <v>0</v>
      </c>
      <c r="Q1186" s="30"/>
      <c r="R1186" s="30">
        <f>SUM(R1177:R1184)</f>
        <v>15681.259129999999</v>
      </c>
      <c r="S1186" s="30">
        <f>SUM(S1177:S1184)</f>
        <v>0</v>
      </c>
      <c r="T1186" s="30">
        <f>SUM(T1177:T1184)</f>
        <v>0</v>
      </c>
      <c r="U1186" s="30">
        <f>SUM(U1177:U1184)</f>
        <v>0</v>
      </c>
      <c r="V1186" s="30">
        <f>SUM(V1177:V1184)</f>
        <v>0</v>
      </c>
      <c r="W1186" s="30"/>
      <c r="X1186" s="30">
        <f>SUM(X1177:X1184)</f>
        <v>15566.065979999999</v>
      </c>
      <c r="Y1186" s="30">
        <f>SUM(Y1177:Y1184)</f>
        <v>889899.95978999999</v>
      </c>
      <c r="Z1186" s="30">
        <f>SUM(Z1177:Z1184)</f>
        <v>52922.077060000011</v>
      </c>
      <c r="AA1186" s="30">
        <f>SUM(AA1177:AA1184)</f>
        <v>15566.065979999999</v>
      </c>
      <c r="AB1186" s="30">
        <f>SUM(AB1177:AB1184)</f>
        <v>45097.971229999996</v>
      </c>
      <c r="AC1186" s="30"/>
      <c r="AD1186" s="30"/>
      <c r="AF1186" s="34"/>
      <c r="AG1186" s="34"/>
      <c r="AH1186" s="34"/>
      <c r="AI1186" s="34"/>
      <c r="AJ1186" s="34"/>
      <c r="AK1186" s="34"/>
      <c r="AL1186" s="34"/>
      <c r="AM1186" s="34"/>
      <c r="AN1186" s="34"/>
      <c r="AO1186" s="34"/>
      <c r="AP1186" s="34"/>
      <c r="AQ1186" s="34"/>
      <c r="AR1186" s="34"/>
      <c r="AS1186" s="34"/>
    </row>
    <row r="1187" spans="1:45" x14ac:dyDescent="0.2">
      <c r="A1187" s="18"/>
      <c r="D1187" s="21" t="s">
        <v>57</v>
      </c>
      <c r="E1187" s="21" t="s">
        <v>57</v>
      </c>
      <c r="F1187" s="21" t="s">
        <v>57</v>
      </c>
      <c r="G1187" s="21"/>
      <c r="H1187" s="21" t="s">
        <v>57</v>
      </c>
      <c r="I1187" s="21" t="s">
        <v>57</v>
      </c>
      <c r="J1187" s="21" t="s">
        <v>57</v>
      </c>
      <c r="K1187" s="21" t="s">
        <v>57</v>
      </c>
      <c r="L1187" s="21" t="s">
        <v>57</v>
      </c>
      <c r="M1187" s="21"/>
      <c r="N1187" s="21" t="s">
        <v>57</v>
      </c>
      <c r="O1187" s="21" t="s">
        <v>57</v>
      </c>
      <c r="P1187" s="21" t="s">
        <v>57</v>
      </c>
      <c r="Q1187" s="21"/>
      <c r="R1187" s="21" t="s">
        <v>57</v>
      </c>
      <c r="S1187" s="21" t="s">
        <v>57</v>
      </c>
      <c r="T1187" s="21" t="s">
        <v>57</v>
      </c>
      <c r="U1187" s="21" t="s">
        <v>57</v>
      </c>
      <c r="V1187" s="21" t="s">
        <v>57</v>
      </c>
      <c r="W1187" s="21"/>
      <c r="X1187" s="21" t="s">
        <v>57</v>
      </c>
      <c r="Y1187" s="21" t="s">
        <v>57</v>
      </c>
      <c r="Z1187" s="21" t="s">
        <v>57</v>
      </c>
      <c r="AA1187" s="21" t="s">
        <v>57</v>
      </c>
      <c r="AB1187" s="21" t="s">
        <v>57</v>
      </c>
      <c r="AC1187" s="21"/>
      <c r="AD1187" s="21"/>
      <c r="AF1187" s="34"/>
      <c r="AG1187" s="34"/>
      <c r="AH1187" s="34"/>
      <c r="AI1187" s="34"/>
      <c r="AJ1187" s="34"/>
      <c r="AK1187" s="34"/>
      <c r="AL1187" s="34"/>
      <c r="AM1187" s="34"/>
      <c r="AN1187" s="34"/>
      <c r="AO1187" s="34"/>
      <c r="AP1187" s="34"/>
      <c r="AQ1187" s="34"/>
      <c r="AR1187" s="34"/>
      <c r="AS1187" s="34"/>
    </row>
    <row r="1188" spans="1:45" x14ac:dyDescent="0.2">
      <c r="A1188" s="18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35"/>
      <c r="P1188" s="29"/>
      <c r="Q1188" s="65"/>
      <c r="R1188" s="30"/>
      <c r="S1188" s="21"/>
      <c r="T1188" s="21"/>
      <c r="U1188" s="21"/>
      <c r="V1188" s="29"/>
      <c r="W1188" s="21"/>
      <c r="X1188" s="21"/>
      <c r="Y1188" s="21"/>
      <c r="Z1188" s="21"/>
      <c r="AA1188" s="21"/>
      <c r="AB1188" s="21"/>
      <c r="AC1188" s="21"/>
      <c r="AD1188" s="21"/>
      <c r="AF1188" s="34"/>
      <c r="AG1188" s="34"/>
      <c r="AH1188" s="34"/>
      <c r="AI1188" s="34"/>
      <c r="AJ1188" s="34"/>
      <c r="AK1188" s="34"/>
      <c r="AL1188" s="34"/>
      <c r="AM1188" s="34"/>
      <c r="AN1188" s="34"/>
      <c r="AO1188" s="34"/>
      <c r="AP1188" s="34"/>
      <c r="AQ1188" s="34"/>
      <c r="AR1188" s="34"/>
      <c r="AS1188" s="34"/>
    </row>
    <row r="1189" spans="1:45" x14ac:dyDescent="0.2">
      <c r="A1189" s="18">
        <v>94</v>
      </c>
      <c r="B1189" s="3" t="s">
        <v>336</v>
      </c>
      <c r="C1189" s="17" t="s">
        <v>51</v>
      </c>
      <c r="D1189" s="19">
        <f>1863963/1000</f>
        <v>1863.963</v>
      </c>
      <c r="E1189" s="19">
        <f>[1]TOBEPAID!E918/1000</f>
        <v>0</v>
      </c>
      <c r="F1189" s="19">
        <f>[1]TOBEPAID!F918/1000</f>
        <v>0</v>
      </c>
      <c r="G1189" s="19">
        <f>[1]TOBEPAID!G918/1000</f>
        <v>0</v>
      </c>
      <c r="H1189" s="19">
        <f>1682000/1000</f>
        <v>1682</v>
      </c>
      <c r="I1189" s="19">
        <f>[1]TOBEPAID!I918/1000</f>
        <v>0</v>
      </c>
      <c r="J1189" s="19">
        <f>[1]TOBEPAID!J918/1000</f>
        <v>0</v>
      </c>
      <c r="K1189" s="19">
        <f>[1]TOBEPAID!K918/1000</f>
        <v>0</v>
      </c>
      <c r="L1189" s="19">
        <f>[1]TOBEPAID!L918/1000</f>
        <v>0</v>
      </c>
      <c r="M1189" s="19">
        <f>[1]TOBEPAID!M918/1000</f>
        <v>0</v>
      </c>
      <c r="N1189" s="19">
        <f>[1]TOBEPAID!N918/1000</f>
        <v>0</v>
      </c>
      <c r="O1189" s="19">
        <f>[1]TOBEPAID!O918/1000</f>
        <v>0</v>
      </c>
      <c r="P1189" s="19">
        <f>[1]TOBEPAID!P918/1000</f>
        <v>0</v>
      </c>
      <c r="Q1189" s="19">
        <f>[1]TOBEPAID!Q918/1000</f>
        <v>0</v>
      </c>
      <c r="R1189" s="19">
        <f>157168.2/1000</f>
        <v>157.16820000000001</v>
      </c>
      <c r="S1189" s="19">
        <f>[1]TOBEPAID!S918/1000</f>
        <v>0</v>
      </c>
      <c r="T1189" s="19">
        <f>[1]TOBEPAID!T918/1000</f>
        <v>0</v>
      </c>
      <c r="U1189" s="19">
        <f>[1]TOBEPAID!U918/1000</f>
        <v>0</v>
      </c>
      <c r="V1189" s="19">
        <f>[1]TOBEPAID!V918/1000</f>
        <v>0</v>
      </c>
      <c r="W1189" s="19">
        <f>[1]TOBEPAID!W918/1000</f>
        <v>0</v>
      </c>
      <c r="X1189" s="19">
        <f>[1]TOBEPAID!X918/1000</f>
        <v>0</v>
      </c>
      <c r="Y1189" s="19">
        <f>+H1189+R1189</f>
        <v>1839.1682000000001</v>
      </c>
      <c r="Z1189" s="19">
        <f t="shared" ref="Z1189:Z1194" si="223">+D1189-Y1189</f>
        <v>24.794799999999896</v>
      </c>
      <c r="AA1189" s="19">
        <f>[1]TOBEPAID!AA918/1000</f>
        <v>0</v>
      </c>
      <c r="AB1189" s="19">
        <f>[1]TOBEPAID!AB918/1000</f>
        <v>0</v>
      </c>
      <c r="AC1189" s="19"/>
      <c r="AD1189" s="19"/>
      <c r="AF1189" s="34"/>
      <c r="AG1189" s="34"/>
      <c r="AH1189" s="34"/>
      <c r="AI1189" s="34"/>
      <c r="AJ1189" s="34"/>
      <c r="AK1189" s="34"/>
      <c r="AL1189" s="34"/>
      <c r="AM1189" s="34"/>
      <c r="AN1189" s="34"/>
      <c r="AO1189" s="34"/>
      <c r="AP1189" s="34"/>
      <c r="AQ1189" s="34"/>
      <c r="AR1189" s="34"/>
      <c r="AS1189" s="34"/>
    </row>
    <row r="1190" spans="1:45" x14ac:dyDescent="0.2">
      <c r="A1190" s="18"/>
      <c r="C1190" s="17" t="s">
        <v>127</v>
      </c>
      <c r="D1190" s="19">
        <f>12000000/1000</f>
        <v>12000</v>
      </c>
      <c r="E1190" s="19"/>
      <c r="F1190" s="19"/>
      <c r="G1190" s="19"/>
      <c r="H1190" s="19">
        <f>12000000/1000</f>
        <v>12000</v>
      </c>
      <c r="I1190" s="19"/>
      <c r="J1190" s="19"/>
      <c r="K1190" s="19"/>
      <c r="L1190" s="19"/>
      <c r="M1190" s="19"/>
      <c r="N1190" s="19"/>
      <c r="O1190" s="19"/>
      <c r="P1190" s="19"/>
      <c r="Q1190" s="19"/>
      <c r="R1190" s="19">
        <v>0</v>
      </c>
      <c r="S1190" s="19"/>
      <c r="T1190" s="19"/>
      <c r="U1190" s="19"/>
      <c r="V1190" s="19"/>
      <c r="W1190" s="19"/>
      <c r="X1190" s="19"/>
      <c r="Y1190" s="19">
        <f>+H1190+R1190</f>
        <v>12000</v>
      </c>
      <c r="Z1190" s="19">
        <f t="shared" si="223"/>
        <v>0</v>
      </c>
      <c r="AA1190" s="19"/>
      <c r="AB1190" s="19"/>
      <c r="AC1190" s="19"/>
      <c r="AD1190" s="19"/>
      <c r="AF1190" s="34"/>
      <c r="AG1190" s="34"/>
      <c r="AH1190" s="34"/>
      <c r="AI1190" s="34"/>
      <c r="AJ1190" s="34"/>
      <c r="AK1190" s="34"/>
      <c r="AL1190" s="34"/>
      <c r="AM1190" s="34"/>
      <c r="AN1190" s="34"/>
      <c r="AO1190" s="34"/>
      <c r="AP1190" s="34"/>
      <c r="AQ1190" s="34"/>
      <c r="AR1190" s="34"/>
      <c r="AS1190" s="34"/>
    </row>
    <row r="1191" spans="1:45" x14ac:dyDescent="0.2">
      <c r="A1191" s="18"/>
      <c r="C1191" s="3" t="s">
        <v>52</v>
      </c>
      <c r="D1191" s="19">
        <f>1810031/1000</f>
        <v>1810.0309999999999</v>
      </c>
      <c r="E1191" s="19">
        <f>[1]TOBEPAID!E919/1000</f>
        <v>1810.0309999999999</v>
      </c>
      <c r="F1191" s="19">
        <f>[1]TOBEPAID!F919/1000</f>
        <v>0</v>
      </c>
      <c r="G1191" s="19">
        <f>[1]TOBEPAID!G919/1000</f>
        <v>0</v>
      </c>
      <c r="H1191" s="19">
        <f>1810031/1000</f>
        <v>1810.0309999999999</v>
      </c>
      <c r="I1191" s="19">
        <f>[1]TOBEPAID!I919/1000</f>
        <v>0</v>
      </c>
      <c r="J1191" s="19">
        <f>[1]TOBEPAID!J919/1000</f>
        <v>0</v>
      </c>
      <c r="K1191" s="19">
        <f>[1]TOBEPAID!K919/1000</f>
        <v>0</v>
      </c>
      <c r="L1191" s="19">
        <f>[1]TOBEPAID!L919/1000</f>
        <v>0</v>
      </c>
      <c r="M1191" s="19">
        <f>[1]TOBEPAID!M919/1000</f>
        <v>0</v>
      </c>
      <c r="N1191" s="19">
        <f>[1]TOBEPAID!N919/1000</f>
        <v>1810.0309999999999</v>
      </c>
      <c r="O1191" s="19">
        <f>[1]TOBEPAID!O919/1000</f>
        <v>0</v>
      </c>
      <c r="P1191" s="19">
        <f>[1]TOBEPAID!P919/1000</f>
        <v>0</v>
      </c>
      <c r="Q1191" s="19">
        <f>[1]TOBEPAID!Q919/1000</f>
        <v>0</v>
      </c>
      <c r="R1191" s="19">
        <f>[1]TOBEPAID!R919/1000</f>
        <v>0</v>
      </c>
      <c r="S1191" s="19">
        <f>[1]TOBEPAID!S919/1000</f>
        <v>0</v>
      </c>
      <c r="T1191" s="19">
        <f>[1]TOBEPAID!T919/1000</f>
        <v>0</v>
      </c>
      <c r="U1191" s="19">
        <f>[1]TOBEPAID!U919/1000</f>
        <v>0</v>
      </c>
      <c r="V1191" s="19">
        <f>[1]TOBEPAID!V919/1000</f>
        <v>0</v>
      </c>
      <c r="W1191" s="19">
        <f>[1]TOBEPAID!W919/1000</f>
        <v>0</v>
      </c>
      <c r="X1191" s="19">
        <f>[1]TOBEPAID!X919/1000</f>
        <v>0</v>
      </c>
      <c r="Y1191" s="19">
        <f t="shared" ref="Y1191:Y1197" si="224">+H1191+R1191</f>
        <v>1810.0309999999999</v>
      </c>
      <c r="Z1191" s="19">
        <f t="shared" si="223"/>
        <v>0</v>
      </c>
      <c r="AA1191" s="19">
        <f>[1]TOBEPAID!AA919/1000</f>
        <v>1810.0309999999999</v>
      </c>
      <c r="AB1191" s="19">
        <f>[1]TOBEPAID!AB919/1000</f>
        <v>0</v>
      </c>
      <c r="AC1191" s="19"/>
      <c r="AD1191" s="19"/>
      <c r="AF1191" s="34"/>
      <c r="AG1191" s="34"/>
      <c r="AH1191" s="34"/>
      <c r="AI1191" s="34"/>
      <c r="AJ1191" s="34"/>
      <c r="AK1191" s="34"/>
      <c r="AL1191" s="34"/>
      <c r="AM1191" s="34"/>
      <c r="AN1191" s="34"/>
      <c r="AO1191" s="34"/>
      <c r="AP1191" s="34"/>
      <c r="AQ1191" s="34"/>
      <c r="AR1191" s="34"/>
      <c r="AS1191" s="34"/>
    </row>
    <row r="1192" spans="1:45" x14ac:dyDescent="0.2">
      <c r="A1192" s="18"/>
      <c r="C1192" s="3" t="s">
        <v>161</v>
      </c>
      <c r="D1192" s="19">
        <f>8000000/1000</f>
        <v>8000</v>
      </c>
      <c r="E1192" s="19"/>
      <c r="F1192" s="19"/>
      <c r="G1192" s="19"/>
      <c r="H1192" s="19">
        <f>8000000/1000</f>
        <v>8000</v>
      </c>
      <c r="I1192" s="19"/>
      <c r="J1192" s="19"/>
      <c r="K1192" s="19"/>
      <c r="L1192" s="19"/>
      <c r="M1192" s="19"/>
      <c r="N1192" s="19"/>
      <c r="O1192" s="19"/>
      <c r="P1192" s="19"/>
      <c r="Q1192" s="19"/>
      <c r="R1192" s="19">
        <v>0</v>
      </c>
      <c r="S1192" s="19"/>
      <c r="T1192" s="19"/>
      <c r="U1192" s="19"/>
      <c r="V1192" s="19"/>
      <c r="W1192" s="19"/>
      <c r="X1192" s="19"/>
      <c r="Y1192" s="19">
        <f t="shared" si="224"/>
        <v>8000</v>
      </c>
      <c r="Z1192" s="19">
        <f t="shared" si="223"/>
        <v>0</v>
      </c>
      <c r="AA1192" s="19"/>
      <c r="AB1192" s="19"/>
      <c r="AC1192" s="19"/>
      <c r="AD1192" s="19"/>
      <c r="AF1192" s="34"/>
      <c r="AG1192" s="34"/>
      <c r="AH1192" s="34"/>
      <c r="AI1192" s="34"/>
      <c r="AJ1192" s="34"/>
      <c r="AK1192" s="34"/>
      <c r="AL1192" s="34"/>
      <c r="AM1192" s="34"/>
      <c r="AN1192" s="34"/>
      <c r="AO1192" s="34"/>
      <c r="AP1192" s="34"/>
      <c r="AQ1192" s="34"/>
      <c r="AR1192" s="34"/>
      <c r="AS1192" s="34"/>
    </row>
    <row r="1193" spans="1:45" x14ac:dyDescent="0.2">
      <c r="A1193" s="18"/>
      <c r="C1193" s="3" t="s">
        <v>76</v>
      </c>
      <c r="D1193" s="19">
        <f>12000000/1000</f>
        <v>12000</v>
      </c>
      <c r="E1193" s="19"/>
      <c r="F1193" s="19"/>
      <c r="G1193" s="19"/>
      <c r="H1193" s="19">
        <f>12000000/1000</f>
        <v>12000</v>
      </c>
      <c r="I1193" s="19"/>
      <c r="J1193" s="19"/>
      <c r="K1193" s="19"/>
      <c r="L1193" s="19"/>
      <c r="M1193" s="19"/>
      <c r="N1193" s="19"/>
      <c r="O1193" s="19"/>
      <c r="P1193" s="19"/>
      <c r="Q1193" s="19"/>
      <c r="R1193" s="19">
        <v>0</v>
      </c>
      <c r="S1193" s="19"/>
      <c r="T1193" s="19"/>
      <c r="U1193" s="19"/>
      <c r="V1193" s="19"/>
      <c r="W1193" s="19"/>
      <c r="X1193" s="19"/>
      <c r="Y1193" s="19">
        <f t="shared" si="224"/>
        <v>12000</v>
      </c>
      <c r="Z1193" s="19">
        <f t="shared" si="223"/>
        <v>0</v>
      </c>
      <c r="AA1193" s="19"/>
      <c r="AB1193" s="19"/>
      <c r="AC1193" s="19"/>
      <c r="AD1193" s="19"/>
      <c r="AF1193" s="34"/>
      <c r="AG1193" s="34"/>
      <c r="AH1193" s="34"/>
      <c r="AI1193" s="34"/>
      <c r="AJ1193" s="34"/>
      <c r="AK1193" s="34"/>
      <c r="AL1193" s="34"/>
      <c r="AM1193" s="34"/>
      <c r="AN1193" s="34"/>
      <c r="AO1193" s="34"/>
      <c r="AP1193" s="34"/>
      <c r="AQ1193" s="34"/>
      <c r="AR1193" s="34"/>
      <c r="AS1193" s="34"/>
    </row>
    <row r="1194" spans="1:45" x14ac:dyDescent="0.2">
      <c r="A1194" s="18"/>
      <c r="C1194" s="3" t="s">
        <v>276</v>
      </c>
      <c r="D1194" s="19">
        <v>0</v>
      </c>
      <c r="E1194" s="19">
        <f>[1]TOBEPAID!E920/1000</f>
        <v>0</v>
      </c>
      <c r="F1194" s="19">
        <f>[1]TOBEPAID!F920/1000</f>
        <v>0</v>
      </c>
      <c r="G1194" s="19">
        <f>[1]TOBEPAID!G920/1000</f>
        <v>0</v>
      </c>
      <c r="H1194" s="19">
        <v>0</v>
      </c>
      <c r="I1194" s="19">
        <f>[1]TOBEPAID!I920/1000</f>
        <v>0</v>
      </c>
      <c r="J1194" s="19">
        <f>[1]TOBEPAID!J920/1000</f>
        <v>0</v>
      </c>
      <c r="K1194" s="19">
        <f>[1]TOBEPAID!K920/1000</f>
        <v>0</v>
      </c>
      <c r="L1194" s="19">
        <f>[1]TOBEPAID!L920/1000</f>
        <v>0</v>
      </c>
      <c r="M1194" s="19">
        <f>[1]TOBEPAID!M920/1000</f>
        <v>0</v>
      </c>
      <c r="N1194" s="19">
        <f>[1]TOBEPAID!N920/1000</f>
        <v>0</v>
      </c>
      <c r="O1194" s="19">
        <f>[1]TOBEPAID!O920/1000</f>
        <v>0</v>
      </c>
      <c r="P1194" s="19">
        <f>[1]TOBEPAID!P920/1000</f>
        <v>0</v>
      </c>
      <c r="Q1194" s="19">
        <f>[1]TOBEPAID!Q920/1000</f>
        <v>0</v>
      </c>
      <c r="R1194" s="19">
        <f>[1]TOBEPAID!R920/1000</f>
        <v>0</v>
      </c>
      <c r="S1194" s="19">
        <f>[1]TOBEPAID!S920/1000</f>
        <v>0</v>
      </c>
      <c r="T1194" s="19">
        <f>[1]TOBEPAID!T920/1000</f>
        <v>0</v>
      </c>
      <c r="U1194" s="19">
        <f>[1]TOBEPAID!U920/1000</f>
        <v>0</v>
      </c>
      <c r="V1194" s="19">
        <f>[1]TOBEPAID!V920/1000</f>
        <v>0</v>
      </c>
      <c r="W1194" s="19">
        <f>[1]TOBEPAID!W920/1000</f>
        <v>0</v>
      </c>
      <c r="X1194" s="19">
        <f>[1]TOBEPAID!X920/1000</f>
        <v>0</v>
      </c>
      <c r="Y1194" s="19">
        <f t="shared" si="224"/>
        <v>0</v>
      </c>
      <c r="Z1194" s="19">
        <f t="shared" si="223"/>
        <v>0</v>
      </c>
      <c r="AA1194" s="19">
        <f>[1]TOBEPAID!AA920/1000</f>
        <v>0</v>
      </c>
      <c r="AB1194" s="19">
        <f>[1]TOBEPAID!AB920/1000</f>
        <v>507.48234000000002</v>
      </c>
      <c r="AC1194" s="19"/>
      <c r="AD1194" s="19"/>
      <c r="AF1194" s="34"/>
      <c r="AG1194" s="34"/>
      <c r="AH1194" s="34"/>
      <c r="AI1194" s="34"/>
      <c r="AJ1194" s="34"/>
      <c r="AK1194" s="34"/>
      <c r="AL1194" s="34"/>
      <c r="AM1194" s="34"/>
      <c r="AN1194" s="34"/>
      <c r="AO1194" s="34"/>
      <c r="AP1194" s="34"/>
      <c r="AQ1194" s="34"/>
      <c r="AR1194" s="34"/>
      <c r="AS1194" s="34"/>
    </row>
    <row r="1195" spans="1:45" x14ac:dyDescent="0.2">
      <c r="A1195" s="18"/>
      <c r="C1195" s="3" t="s">
        <v>87</v>
      </c>
      <c r="D1195" s="19">
        <f>290628/1000</f>
        <v>290.62799999999999</v>
      </c>
      <c r="E1195" s="19">
        <f>[1]TOBEPAID!E921/1000</f>
        <v>0</v>
      </c>
      <c r="F1195" s="19">
        <f>[1]TOBEPAID!F921/1000</f>
        <v>0</v>
      </c>
      <c r="G1195" s="19">
        <f>[1]TOBEPAID!G921/1000</f>
        <v>0</v>
      </c>
      <c r="H1195" s="19">
        <v>0</v>
      </c>
      <c r="I1195" s="19">
        <f>[1]TOBEPAID!I921/1000</f>
        <v>0</v>
      </c>
      <c r="J1195" s="19">
        <f>[1]TOBEPAID!J921/1000</f>
        <v>0</v>
      </c>
      <c r="K1195" s="19">
        <f>[1]TOBEPAID!K921/1000</f>
        <v>0</v>
      </c>
      <c r="L1195" s="19">
        <f>[1]TOBEPAID!L921/1000</f>
        <v>0</v>
      </c>
      <c r="M1195" s="19">
        <f>[1]TOBEPAID!M921/1000</f>
        <v>0</v>
      </c>
      <c r="N1195" s="19">
        <f>[1]TOBEPAID!N921/1000</f>
        <v>0</v>
      </c>
      <c r="O1195" s="19">
        <f>[1]TOBEPAID!O921/1000</f>
        <v>290.62849999999997</v>
      </c>
      <c r="P1195" s="19">
        <f>[1]TOBEPAID!P921/1000</f>
        <v>0</v>
      </c>
      <c r="Q1195" s="19">
        <f>[1]TOBEPAID!Q921/1000</f>
        <v>0</v>
      </c>
      <c r="R1195" s="19">
        <f>[1]TOBEPAID!R921/1000</f>
        <v>290.62849999999997</v>
      </c>
      <c r="S1195" s="19">
        <f>[1]TOBEPAID!S921/1000</f>
        <v>0</v>
      </c>
      <c r="T1195" s="19">
        <f>[1]TOBEPAID!T921/1000</f>
        <v>0</v>
      </c>
      <c r="U1195" s="19">
        <f>[1]TOBEPAID!U921/1000</f>
        <v>0</v>
      </c>
      <c r="V1195" s="19">
        <f>[1]TOBEPAID!V921/1000</f>
        <v>0</v>
      </c>
      <c r="W1195" s="19">
        <f>[1]TOBEPAID!W921/1000</f>
        <v>0</v>
      </c>
      <c r="X1195" s="19">
        <f>[1]TOBEPAID!X921/1000</f>
        <v>290.62849999999997</v>
      </c>
      <c r="Y1195" s="19">
        <f t="shared" si="224"/>
        <v>290.62849999999997</v>
      </c>
      <c r="Z1195" s="19">
        <f>+Y1195-D1195</f>
        <v>4.9999999998817657E-4</v>
      </c>
      <c r="AA1195" s="19">
        <f>[1]TOBEPAID!AA921/1000</f>
        <v>290.62849999999997</v>
      </c>
      <c r="AB1195" s="19">
        <f>[1]TOBEPAID!AB921/1000</f>
        <v>992.97566000000018</v>
      </c>
      <c r="AC1195" s="19"/>
      <c r="AD1195" s="19"/>
      <c r="AF1195" s="34"/>
      <c r="AG1195" s="34"/>
      <c r="AH1195" s="34"/>
      <c r="AI1195" s="34"/>
      <c r="AJ1195" s="34"/>
      <c r="AK1195" s="34"/>
      <c r="AL1195" s="34"/>
      <c r="AM1195" s="34"/>
      <c r="AN1195" s="34"/>
      <c r="AO1195" s="34"/>
      <c r="AP1195" s="34"/>
      <c r="AQ1195" s="34"/>
      <c r="AR1195" s="34"/>
      <c r="AS1195" s="34"/>
    </row>
    <row r="1196" spans="1:45" x14ac:dyDescent="0.2">
      <c r="A1196" s="18"/>
      <c r="C1196" s="3" t="s">
        <v>55</v>
      </c>
      <c r="D1196" s="19">
        <f>1514615/1000</f>
        <v>1514.615</v>
      </c>
      <c r="E1196" s="19">
        <f>[1]TOBEPAID!E922/1000</f>
        <v>0</v>
      </c>
      <c r="F1196" s="19">
        <f>[1]TOBEPAID!F922/1000</f>
        <v>0</v>
      </c>
      <c r="G1196" s="19">
        <f>[1]TOBEPAID!G922/1000</f>
        <v>0</v>
      </c>
      <c r="H1196" s="19">
        <v>0</v>
      </c>
      <c r="I1196" s="19">
        <f>[1]TOBEPAID!I922/1000</f>
        <v>0</v>
      </c>
      <c r="J1196" s="19">
        <f>[1]TOBEPAID!J922/1000</f>
        <v>0</v>
      </c>
      <c r="K1196" s="19">
        <f>[1]TOBEPAID!K922/1000</f>
        <v>0</v>
      </c>
      <c r="L1196" s="19">
        <f>[1]TOBEPAID!L922/1000</f>
        <v>0</v>
      </c>
      <c r="M1196" s="19">
        <f>[1]TOBEPAID!M922/1000</f>
        <v>0</v>
      </c>
      <c r="N1196" s="19">
        <f>[1]TOBEPAID!N922/1000</f>
        <v>0</v>
      </c>
      <c r="O1196" s="19">
        <f>[1]TOBEPAID!O922/1000</f>
        <v>1514.4053600000002</v>
      </c>
      <c r="P1196" s="19">
        <f>[1]TOBEPAID!P922/1000</f>
        <v>0</v>
      </c>
      <c r="Q1196" s="19">
        <f>[1]TOBEPAID!Q922/1000</f>
        <v>0</v>
      </c>
      <c r="R1196" s="19">
        <f>1514405/1000</f>
        <v>1514.405</v>
      </c>
      <c r="S1196" s="19">
        <f>[1]TOBEPAID!S922/1000</f>
        <v>0</v>
      </c>
      <c r="T1196" s="19">
        <f>[1]TOBEPAID!T922/1000</f>
        <v>0</v>
      </c>
      <c r="U1196" s="19">
        <f>[1]TOBEPAID!U922/1000</f>
        <v>0</v>
      </c>
      <c r="V1196" s="19">
        <f>[1]TOBEPAID!V922/1000</f>
        <v>0</v>
      </c>
      <c r="W1196" s="19">
        <f>[1]TOBEPAID!W922/1000</f>
        <v>0</v>
      </c>
      <c r="X1196" s="19">
        <f>[1]TOBEPAID!X922/1000</f>
        <v>1514.4053600000002</v>
      </c>
      <c r="Y1196" s="19">
        <f t="shared" si="224"/>
        <v>1514.405</v>
      </c>
      <c r="Z1196" s="19">
        <f>+D1196-Y1196</f>
        <v>0.21000000000003638</v>
      </c>
      <c r="AA1196" s="19">
        <f>[1]TOBEPAID!AA922/1000</f>
        <v>1514.4053600000002</v>
      </c>
      <c r="AB1196" s="19">
        <f>[1]TOBEPAID!AB922/1000</f>
        <v>0</v>
      </c>
      <c r="AC1196" s="19"/>
      <c r="AD1196" s="19"/>
      <c r="AF1196" s="34"/>
      <c r="AG1196" s="34"/>
      <c r="AH1196" s="34"/>
      <c r="AI1196" s="34"/>
      <c r="AJ1196" s="34"/>
      <c r="AK1196" s="34"/>
      <c r="AL1196" s="34"/>
      <c r="AM1196" s="34"/>
      <c r="AN1196" s="34"/>
      <c r="AO1196" s="34"/>
      <c r="AP1196" s="34"/>
      <c r="AQ1196" s="34"/>
      <c r="AR1196" s="34"/>
      <c r="AS1196" s="34"/>
    </row>
    <row r="1197" spans="1:45" x14ac:dyDescent="0.2">
      <c r="A1197" s="18"/>
      <c r="C1197" s="3" t="s">
        <v>88</v>
      </c>
      <c r="D1197" s="19">
        <f>374163/1000</f>
        <v>374.16300000000001</v>
      </c>
      <c r="E1197" s="19">
        <f>[1]TOBEPAID!E923/1000</f>
        <v>0</v>
      </c>
      <c r="F1197" s="19">
        <f>[1]TOBEPAID!F923/1000</f>
        <v>0</v>
      </c>
      <c r="G1197" s="19">
        <f>[1]TOBEPAID!G923/1000</f>
        <v>0</v>
      </c>
      <c r="H1197" s="19">
        <v>0</v>
      </c>
      <c r="I1197" s="19">
        <f>[1]TOBEPAID!I923/1000</f>
        <v>0</v>
      </c>
      <c r="J1197" s="19">
        <f>[1]TOBEPAID!J923/1000</f>
        <v>0</v>
      </c>
      <c r="K1197" s="19">
        <f>[1]TOBEPAID!K923/1000</f>
        <v>0</v>
      </c>
      <c r="L1197" s="19">
        <f>[1]TOBEPAID!L923/1000</f>
        <v>0</v>
      </c>
      <c r="M1197" s="19">
        <f>[1]TOBEPAID!M923/1000</f>
        <v>0</v>
      </c>
      <c r="N1197" s="19">
        <f>[1]TOBEPAID!N923/1000</f>
        <v>0</v>
      </c>
      <c r="O1197" s="19">
        <f>[1]TOBEPAID!O923/1000</f>
        <v>555.91641000000004</v>
      </c>
      <c r="P1197" s="19">
        <f>[1]TOBEPAID!P923/1000</f>
        <v>0</v>
      </c>
      <c r="Q1197" s="19">
        <f>[1]TOBEPAID!Q923/1000</f>
        <v>0</v>
      </c>
      <c r="R1197" s="19">
        <f>374163/1000</f>
        <v>374.16300000000001</v>
      </c>
      <c r="S1197" s="19">
        <f>[1]TOBEPAID!S923/1000</f>
        <v>0</v>
      </c>
      <c r="T1197" s="19">
        <f>[1]TOBEPAID!T923/1000</f>
        <v>0</v>
      </c>
      <c r="U1197" s="19">
        <f>[1]TOBEPAID!U923/1000</f>
        <v>0</v>
      </c>
      <c r="V1197" s="19">
        <f>[1]TOBEPAID!V923/1000</f>
        <v>0</v>
      </c>
      <c r="W1197" s="19">
        <f>[1]TOBEPAID!W923/1000</f>
        <v>0</v>
      </c>
      <c r="X1197" s="19">
        <f>[1]TOBEPAID!X923/1000</f>
        <v>555.91641000000004</v>
      </c>
      <c r="Y1197" s="19">
        <f t="shared" si="224"/>
        <v>374.16300000000001</v>
      </c>
      <c r="Z1197" s="19">
        <f>+D1197-Y1197</f>
        <v>0</v>
      </c>
      <c r="AA1197" s="19">
        <f>[1]TOBEPAID!AA923/1000</f>
        <v>555.91641000000004</v>
      </c>
      <c r="AB1197" s="19">
        <f>[1]TOBEPAID!AB923/1000</f>
        <v>0</v>
      </c>
      <c r="AC1197" s="19"/>
      <c r="AD1197" s="19"/>
      <c r="AF1197" s="34"/>
      <c r="AG1197" s="34"/>
      <c r="AH1197" s="34"/>
      <c r="AI1197" s="34"/>
      <c r="AJ1197" s="34"/>
      <c r="AK1197" s="34"/>
      <c r="AL1197" s="34"/>
      <c r="AM1197" s="34"/>
      <c r="AN1197" s="34"/>
      <c r="AO1197" s="34"/>
      <c r="AP1197" s="34"/>
      <c r="AQ1197" s="34"/>
      <c r="AR1197" s="34"/>
      <c r="AS1197" s="34"/>
    </row>
    <row r="1198" spans="1:45" x14ac:dyDescent="0.2">
      <c r="A1198" s="18"/>
      <c r="D1198" s="21" t="s">
        <v>57</v>
      </c>
      <c r="E1198" s="21" t="s">
        <v>57</v>
      </c>
      <c r="F1198" s="21" t="s">
        <v>57</v>
      </c>
      <c r="G1198" s="21"/>
      <c r="H1198" s="21" t="s">
        <v>57</v>
      </c>
      <c r="I1198" s="21" t="s">
        <v>57</v>
      </c>
      <c r="J1198" s="21" t="s">
        <v>57</v>
      </c>
      <c r="K1198" s="21" t="s">
        <v>57</v>
      </c>
      <c r="L1198" s="21" t="s">
        <v>57</v>
      </c>
      <c r="M1198" s="21"/>
      <c r="N1198" s="21" t="s">
        <v>57</v>
      </c>
      <c r="O1198" s="21" t="s">
        <v>57</v>
      </c>
      <c r="P1198" s="21" t="s">
        <v>57</v>
      </c>
      <c r="Q1198" s="21"/>
      <c r="R1198" s="21" t="s">
        <v>57</v>
      </c>
      <c r="S1198" s="21" t="s">
        <v>57</v>
      </c>
      <c r="T1198" s="21" t="s">
        <v>57</v>
      </c>
      <c r="U1198" s="21" t="s">
        <v>57</v>
      </c>
      <c r="V1198" s="21" t="s">
        <v>57</v>
      </c>
      <c r="W1198" s="21"/>
      <c r="X1198" s="21" t="s">
        <v>57</v>
      </c>
      <c r="Y1198" s="21" t="s">
        <v>57</v>
      </c>
      <c r="Z1198" s="21" t="s">
        <v>57</v>
      </c>
      <c r="AA1198" s="21" t="s">
        <v>57</v>
      </c>
      <c r="AB1198" s="21" t="s">
        <v>57</v>
      </c>
      <c r="AC1198" s="21"/>
      <c r="AD1198" s="21"/>
      <c r="AF1198" s="34"/>
      <c r="AG1198" s="34"/>
      <c r="AH1198" s="34"/>
      <c r="AI1198" s="34"/>
      <c r="AJ1198" s="34"/>
      <c r="AK1198" s="34"/>
      <c r="AL1198" s="34"/>
      <c r="AM1198" s="34"/>
      <c r="AN1198" s="34"/>
      <c r="AO1198" s="34"/>
      <c r="AP1198" s="34"/>
      <c r="AQ1198" s="34"/>
      <c r="AR1198" s="34"/>
      <c r="AS1198" s="34"/>
    </row>
    <row r="1199" spans="1:45" x14ac:dyDescent="0.2">
      <c r="A1199" s="18"/>
      <c r="D1199" s="30">
        <f>SUM(D1189:D1197)</f>
        <v>37853.399999999994</v>
      </c>
      <c r="E1199" s="30">
        <f>SUM(E1189:E1197)</f>
        <v>1810.0309999999999</v>
      </c>
      <c r="F1199" s="30">
        <f>SUM(F1189:F1197)</f>
        <v>0</v>
      </c>
      <c r="G1199" s="30"/>
      <c r="H1199" s="30">
        <f>SUM(H1189:H1197)</f>
        <v>35492.031000000003</v>
      </c>
      <c r="I1199" s="30">
        <f>SUM(I1189:I1197)</f>
        <v>0</v>
      </c>
      <c r="J1199" s="30">
        <f>SUM(J1189:J1197)</f>
        <v>0</v>
      </c>
      <c r="K1199" s="30">
        <f>SUM(K1189:K1197)</f>
        <v>0</v>
      </c>
      <c r="L1199" s="30">
        <f>SUM(L1189:L1197)</f>
        <v>0</v>
      </c>
      <c r="M1199" s="30"/>
      <c r="N1199" s="30">
        <f>SUM(N1189:N1197)</f>
        <v>1810.0309999999999</v>
      </c>
      <c r="O1199" s="30">
        <f>SUM(O1189:O1197)</f>
        <v>2360.9502700000003</v>
      </c>
      <c r="P1199" s="30">
        <f>SUM(P1189:P1197)</f>
        <v>0</v>
      </c>
      <c r="Q1199" s="30"/>
      <c r="R1199" s="30">
        <f>SUM(R1189:R1197)</f>
        <v>2336.3647000000001</v>
      </c>
      <c r="S1199" s="30">
        <f>SUM(S1189:S1197)</f>
        <v>0</v>
      </c>
      <c r="T1199" s="30">
        <f>SUM(T1189:T1197)</f>
        <v>0</v>
      </c>
      <c r="U1199" s="30">
        <f>SUM(U1189:U1197)</f>
        <v>0</v>
      </c>
      <c r="V1199" s="30">
        <f>SUM(V1189:V1197)</f>
        <v>0</v>
      </c>
      <c r="W1199" s="30"/>
      <c r="X1199" s="30">
        <f>SUM(X1189:X1197)</f>
        <v>2360.9502700000003</v>
      </c>
      <c r="Y1199" s="30">
        <f>SUM(Y1189:Y1197)</f>
        <v>37828.395700000001</v>
      </c>
      <c r="Z1199" s="30">
        <f>SUM(Z1189:Z1197)</f>
        <v>25.00529999999992</v>
      </c>
      <c r="AA1199" s="30">
        <f>SUM(AA1189:AA1197)</f>
        <v>4170.9812700000002</v>
      </c>
      <c r="AB1199" s="30">
        <f>SUM(AB1189:AB1197)</f>
        <v>1500.4580000000001</v>
      </c>
      <c r="AC1199" s="30"/>
      <c r="AD1199" s="30"/>
      <c r="AF1199" s="34"/>
      <c r="AG1199" s="34"/>
      <c r="AH1199" s="34"/>
      <c r="AI1199" s="34"/>
      <c r="AJ1199" s="34"/>
      <c r="AK1199" s="34"/>
      <c r="AL1199" s="34"/>
      <c r="AM1199" s="34"/>
      <c r="AN1199" s="34"/>
      <c r="AO1199" s="34"/>
      <c r="AP1199" s="34"/>
      <c r="AQ1199" s="34"/>
      <c r="AR1199" s="34"/>
      <c r="AS1199" s="34"/>
    </row>
    <row r="1200" spans="1:45" x14ac:dyDescent="0.2">
      <c r="A1200" s="18"/>
      <c r="D1200" s="21" t="s">
        <v>57</v>
      </c>
      <c r="E1200" s="21" t="s">
        <v>57</v>
      </c>
      <c r="F1200" s="21" t="s">
        <v>57</v>
      </c>
      <c r="G1200" s="21"/>
      <c r="H1200" s="21" t="s">
        <v>57</v>
      </c>
      <c r="I1200" s="21" t="s">
        <v>57</v>
      </c>
      <c r="J1200" s="21" t="s">
        <v>57</v>
      </c>
      <c r="K1200" s="21" t="s">
        <v>57</v>
      </c>
      <c r="L1200" s="21" t="s">
        <v>57</v>
      </c>
      <c r="M1200" s="21"/>
      <c r="N1200" s="21" t="s">
        <v>57</v>
      </c>
      <c r="O1200" s="21" t="s">
        <v>57</v>
      </c>
      <c r="P1200" s="21" t="s">
        <v>57</v>
      </c>
      <c r="Q1200" s="21"/>
      <c r="R1200" s="21" t="s">
        <v>57</v>
      </c>
      <c r="S1200" s="21" t="s">
        <v>57</v>
      </c>
      <c r="T1200" s="21" t="s">
        <v>57</v>
      </c>
      <c r="U1200" s="21" t="s">
        <v>57</v>
      </c>
      <c r="V1200" s="21" t="s">
        <v>57</v>
      </c>
      <c r="W1200" s="21"/>
      <c r="X1200" s="21" t="s">
        <v>57</v>
      </c>
      <c r="Y1200" s="21" t="s">
        <v>57</v>
      </c>
      <c r="Z1200" s="21" t="s">
        <v>57</v>
      </c>
      <c r="AA1200" s="21" t="s">
        <v>57</v>
      </c>
      <c r="AB1200" s="21" t="s">
        <v>57</v>
      </c>
      <c r="AC1200" s="21"/>
      <c r="AD1200" s="21"/>
      <c r="AF1200" s="34"/>
      <c r="AG1200" s="34"/>
      <c r="AH1200" s="34"/>
      <c r="AI1200" s="34"/>
      <c r="AJ1200" s="34"/>
      <c r="AK1200" s="34"/>
      <c r="AL1200" s="34"/>
      <c r="AM1200" s="34"/>
      <c r="AN1200" s="34"/>
      <c r="AO1200" s="34"/>
      <c r="AP1200" s="34"/>
      <c r="AQ1200" s="34"/>
      <c r="AR1200" s="34"/>
      <c r="AS1200" s="34"/>
    </row>
    <row r="1201" spans="1:45" x14ac:dyDescent="0.2">
      <c r="A1201" s="18"/>
      <c r="D1201" s="21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  <c r="R1201" s="29"/>
      <c r="S1201" s="21"/>
      <c r="T1201" s="21"/>
      <c r="U1201" s="21"/>
      <c r="V1201" s="30"/>
      <c r="W1201" s="21"/>
      <c r="X1201" s="21"/>
      <c r="Y1201" s="21"/>
      <c r="Z1201" s="21"/>
      <c r="AA1201" s="21"/>
      <c r="AB1201" s="21"/>
      <c r="AC1201" s="21"/>
      <c r="AD1201" s="21"/>
      <c r="AF1201" s="34"/>
      <c r="AG1201" s="34"/>
      <c r="AH1201" s="34"/>
      <c r="AI1201" s="34"/>
      <c r="AJ1201" s="34"/>
      <c r="AK1201" s="34"/>
      <c r="AL1201" s="34"/>
      <c r="AM1201" s="34"/>
      <c r="AN1201" s="34"/>
      <c r="AO1201" s="34"/>
      <c r="AP1201" s="34"/>
      <c r="AQ1201" s="34"/>
      <c r="AR1201" s="34"/>
      <c r="AS1201" s="34"/>
    </row>
    <row r="1202" spans="1:45" x14ac:dyDescent="0.2">
      <c r="A1202" s="18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  <c r="Z1202" s="21"/>
      <c r="AA1202" s="21"/>
      <c r="AB1202" s="21"/>
      <c r="AC1202" s="21"/>
      <c r="AD1202" s="21"/>
      <c r="AF1202" s="34"/>
      <c r="AG1202" s="34"/>
      <c r="AH1202" s="34"/>
      <c r="AI1202" s="34"/>
      <c r="AJ1202" s="34"/>
      <c r="AK1202" s="34"/>
      <c r="AL1202" s="34"/>
      <c r="AM1202" s="34"/>
      <c r="AN1202" s="34"/>
      <c r="AO1202" s="34"/>
      <c r="AP1202" s="34"/>
      <c r="AQ1202" s="34"/>
      <c r="AR1202" s="34"/>
      <c r="AS1202" s="34"/>
    </row>
    <row r="1203" spans="1:45" x14ac:dyDescent="0.2">
      <c r="A1203" s="18">
        <v>95</v>
      </c>
      <c r="B1203" s="3" t="s">
        <v>337</v>
      </c>
      <c r="C1203" s="17" t="s">
        <v>51</v>
      </c>
      <c r="D1203" s="19">
        <f>37561999/1000</f>
        <v>37561.999000000003</v>
      </c>
      <c r="E1203" s="19">
        <f>[1]TOBEPAID!E929/1000</f>
        <v>0</v>
      </c>
      <c r="F1203" s="19">
        <f>[1]TOBEPAID!F929/1000</f>
        <v>0</v>
      </c>
      <c r="G1203" s="19">
        <f>[1]TOBEPAID!G929/1000</f>
        <v>0</v>
      </c>
      <c r="H1203" s="19">
        <f>[1]TOBEPAID!H929/1000</f>
        <v>0</v>
      </c>
      <c r="I1203" s="19">
        <f>[1]TOBEPAID!I929/1000</f>
        <v>0</v>
      </c>
      <c r="J1203" s="19">
        <f>[1]TOBEPAID!J929/1000</f>
        <v>0</v>
      </c>
      <c r="K1203" s="19">
        <f>[1]TOBEPAID!K929/1000</f>
        <v>0</v>
      </c>
      <c r="L1203" s="19">
        <f>[1]TOBEPAID!L929/1000</f>
        <v>0</v>
      </c>
      <c r="M1203" s="19">
        <f>[1]TOBEPAID!M929/1000</f>
        <v>0</v>
      </c>
      <c r="N1203" s="19">
        <f>[1]TOBEPAID!N929/1000</f>
        <v>0</v>
      </c>
      <c r="O1203" s="19">
        <f>[1]TOBEPAID!O929/1000</f>
        <v>0</v>
      </c>
      <c r="P1203" s="19">
        <f>[1]TOBEPAID!P929/1000</f>
        <v>0</v>
      </c>
      <c r="Q1203" s="19">
        <f>[1]TOBEPAID!Q929/1000</f>
        <v>0</v>
      </c>
      <c r="R1203" s="19">
        <f>2601293/1000</f>
        <v>2601.2930000000001</v>
      </c>
      <c r="S1203" s="19">
        <f>[1]TOBEPAID!S929/1000</f>
        <v>0</v>
      </c>
      <c r="T1203" s="19">
        <f>[1]TOBEPAID!T929/1000</f>
        <v>0</v>
      </c>
      <c r="U1203" s="19">
        <f>[1]TOBEPAID!U929/1000</f>
        <v>0</v>
      </c>
      <c r="V1203" s="19">
        <f>[1]TOBEPAID!V929/1000</f>
        <v>0</v>
      </c>
      <c r="W1203" s="19">
        <f>[1]TOBEPAID!W929/1000</f>
        <v>0</v>
      </c>
      <c r="X1203" s="19">
        <f>[1]TOBEPAID!X929/1000</f>
        <v>0</v>
      </c>
      <c r="Y1203" s="19">
        <f>+H1203+R1203</f>
        <v>2601.2930000000001</v>
      </c>
      <c r="Z1203" s="19">
        <f>+D1203-Y1203</f>
        <v>34960.706000000006</v>
      </c>
      <c r="AA1203" s="19">
        <f>[1]TOBEPAID!AA929/1000</f>
        <v>0</v>
      </c>
      <c r="AB1203" s="19">
        <f>[1]TOBEPAID!AB929/1000</f>
        <v>37561.999299999996</v>
      </c>
      <c r="AC1203" s="19"/>
      <c r="AD1203" s="19"/>
      <c r="AF1203" s="34"/>
      <c r="AG1203" s="34"/>
      <c r="AH1203" s="34"/>
      <c r="AI1203" s="34"/>
      <c r="AJ1203" s="34"/>
      <c r="AK1203" s="34"/>
      <c r="AL1203" s="34"/>
      <c r="AM1203" s="34"/>
      <c r="AN1203" s="34"/>
      <c r="AO1203" s="34"/>
      <c r="AP1203" s="34"/>
      <c r="AQ1203" s="34"/>
      <c r="AR1203" s="34"/>
      <c r="AS1203" s="34"/>
    </row>
    <row r="1204" spans="1:45" x14ac:dyDescent="0.2">
      <c r="A1204" s="18"/>
      <c r="C1204" s="3" t="s">
        <v>52</v>
      </c>
      <c r="D1204" s="19">
        <v>21.254999999999999</v>
      </c>
      <c r="E1204" s="19">
        <f>[1]TOBEPAID!E930/1000</f>
        <v>21.254999999999999</v>
      </c>
      <c r="F1204" s="19">
        <f>[1]TOBEPAID!F930/1000</f>
        <v>0</v>
      </c>
      <c r="G1204" s="19">
        <f>[1]TOBEPAID!G930/1000</f>
        <v>0</v>
      </c>
      <c r="H1204" s="19">
        <f>[1]TOBEPAID!H930/1000</f>
        <v>21.254999999999999</v>
      </c>
      <c r="I1204" s="19">
        <f>[1]TOBEPAID!I930/1000</f>
        <v>0</v>
      </c>
      <c r="J1204" s="19">
        <f>[1]TOBEPAID!J930/1000</f>
        <v>0</v>
      </c>
      <c r="K1204" s="19">
        <f>[1]TOBEPAID!K930/1000</f>
        <v>0</v>
      </c>
      <c r="L1204" s="19">
        <f>[1]TOBEPAID!L930/1000</f>
        <v>0</v>
      </c>
      <c r="M1204" s="19">
        <f>[1]TOBEPAID!M930/1000</f>
        <v>0</v>
      </c>
      <c r="N1204" s="19">
        <f>[1]TOBEPAID!N930/1000</f>
        <v>21.254999999999999</v>
      </c>
      <c r="O1204" s="19">
        <f>[1]TOBEPAID!O930/1000</f>
        <v>0</v>
      </c>
      <c r="P1204" s="19">
        <f>[1]TOBEPAID!P930/1000</f>
        <v>0</v>
      </c>
      <c r="Q1204" s="19">
        <f>[1]TOBEPAID!Q930/1000</f>
        <v>0</v>
      </c>
      <c r="R1204" s="19">
        <v>0</v>
      </c>
      <c r="S1204" s="19">
        <f>[1]TOBEPAID!S930/1000</f>
        <v>0</v>
      </c>
      <c r="T1204" s="19">
        <f>[1]TOBEPAID!T930/1000</f>
        <v>0</v>
      </c>
      <c r="U1204" s="19">
        <f>[1]TOBEPAID!U930/1000</f>
        <v>0</v>
      </c>
      <c r="V1204" s="19">
        <f>[1]TOBEPAID!V930/1000</f>
        <v>0</v>
      </c>
      <c r="W1204" s="19">
        <f>[1]TOBEPAID!W930/1000</f>
        <v>0</v>
      </c>
      <c r="X1204" s="19">
        <f>[1]TOBEPAID!X930/1000</f>
        <v>0</v>
      </c>
      <c r="Y1204" s="19">
        <f>+H1204+R1204</f>
        <v>21.254999999999999</v>
      </c>
      <c r="Z1204" s="19">
        <f>+D1204-Y1204</f>
        <v>0</v>
      </c>
      <c r="AA1204" s="19">
        <f>[1]TOBEPAID!AA930/1000</f>
        <v>21.254999999999999</v>
      </c>
      <c r="AB1204" s="19">
        <f>[1]TOBEPAID!AB930/1000</f>
        <v>0</v>
      </c>
      <c r="AC1204" s="19"/>
      <c r="AD1204" s="19"/>
      <c r="AF1204" s="34"/>
      <c r="AG1204" s="34"/>
      <c r="AH1204" s="34"/>
      <c r="AI1204" s="34"/>
      <c r="AJ1204" s="34"/>
      <c r="AK1204" s="34"/>
      <c r="AL1204" s="34"/>
      <c r="AM1204" s="34"/>
      <c r="AN1204" s="34"/>
      <c r="AO1204" s="34"/>
      <c r="AP1204" s="34"/>
      <c r="AQ1204" s="34"/>
      <c r="AR1204" s="34"/>
      <c r="AS1204" s="34"/>
    </row>
    <row r="1205" spans="1:45" x14ac:dyDescent="0.2">
      <c r="A1205" s="18"/>
      <c r="C1205" s="3" t="s">
        <v>96</v>
      </c>
      <c r="D1205" s="19">
        <f>33904714/1000</f>
        <v>33904.714</v>
      </c>
      <c r="E1205" s="19">
        <f>[1]TOBEPAID!E931/1000</f>
        <v>0</v>
      </c>
      <c r="F1205" s="19">
        <f>[1]TOBEPAID!F931/1000</f>
        <v>0</v>
      </c>
      <c r="G1205" s="19">
        <f>[1]TOBEPAID!G931/1000</f>
        <v>0</v>
      </c>
      <c r="H1205" s="19">
        <f>[1]TOBEPAID!H931/1000</f>
        <v>0</v>
      </c>
      <c r="I1205" s="19">
        <f>[1]TOBEPAID!I931/1000</f>
        <v>0</v>
      </c>
      <c r="J1205" s="19">
        <f>[1]TOBEPAID!J931/1000</f>
        <v>0</v>
      </c>
      <c r="K1205" s="19">
        <f>[1]TOBEPAID!K931/1000</f>
        <v>0</v>
      </c>
      <c r="L1205" s="19">
        <f>[1]TOBEPAID!L931/1000</f>
        <v>0</v>
      </c>
      <c r="M1205" s="19">
        <f>[1]TOBEPAID!M931/1000</f>
        <v>0</v>
      </c>
      <c r="N1205" s="19">
        <f>[1]TOBEPAID!N931/1000</f>
        <v>0</v>
      </c>
      <c r="O1205" s="19">
        <f>[1]TOBEPAID!O931/1000</f>
        <v>5495.75155</v>
      </c>
      <c r="P1205" s="19">
        <f>[1]TOBEPAID!P931/1000</f>
        <v>0</v>
      </c>
      <c r="Q1205" s="19">
        <f>[1]TOBEPAID!Q931/1000</f>
        <v>0</v>
      </c>
      <c r="R1205" s="19">
        <f>5495751.55/1000</f>
        <v>5495.75155</v>
      </c>
      <c r="S1205" s="19">
        <f>[1]TOBEPAID!S931/1000</f>
        <v>0</v>
      </c>
      <c r="T1205" s="19">
        <f>[1]TOBEPAID!T931/1000</f>
        <v>0</v>
      </c>
      <c r="U1205" s="19">
        <f>[1]TOBEPAID!U931/1000</f>
        <v>0</v>
      </c>
      <c r="V1205" s="19">
        <f>[1]TOBEPAID!V931/1000</f>
        <v>0</v>
      </c>
      <c r="W1205" s="19">
        <f>[1]TOBEPAID!W931/1000</f>
        <v>0</v>
      </c>
      <c r="X1205" s="19">
        <f>[1]TOBEPAID!X931/1000</f>
        <v>5495.75155</v>
      </c>
      <c r="Y1205" s="19">
        <f>+H1205+R1205</f>
        <v>5495.75155</v>
      </c>
      <c r="Z1205" s="19">
        <f>+D1205-Y1205</f>
        <v>28408.962449999999</v>
      </c>
      <c r="AA1205" s="19">
        <f>[1]TOBEPAID!AA931/1000</f>
        <v>5495.75155</v>
      </c>
      <c r="AB1205" s="19">
        <f>[1]TOBEPAID!AB931/1000</f>
        <v>28408.9627</v>
      </c>
      <c r="AC1205" s="19"/>
      <c r="AD1205" s="19"/>
      <c r="AF1205" s="34"/>
      <c r="AG1205" s="34"/>
      <c r="AH1205" s="34"/>
      <c r="AI1205" s="34"/>
      <c r="AJ1205" s="34"/>
      <c r="AK1205" s="34"/>
      <c r="AL1205" s="34"/>
      <c r="AM1205" s="34"/>
      <c r="AN1205" s="34"/>
      <c r="AO1205" s="34"/>
      <c r="AP1205" s="34"/>
      <c r="AQ1205" s="34"/>
      <c r="AR1205" s="34"/>
      <c r="AS1205" s="34"/>
    </row>
    <row r="1206" spans="1:45" x14ac:dyDescent="0.2">
      <c r="A1206" s="18"/>
      <c r="C1206" s="3" t="s">
        <v>97</v>
      </c>
      <c r="D1206" s="19">
        <f>15796529/1000</f>
        <v>15796.529</v>
      </c>
      <c r="E1206" s="19">
        <f>[1]TOBEPAID!E932/1000</f>
        <v>0</v>
      </c>
      <c r="F1206" s="19">
        <f>[1]TOBEPAID!F932/1000</f>
        <v>0</v>
      </c>
      <c r="G1206" s="19">
        <f>[1]TOBEPAID!G932/1000</f>
        <v>0</v>
      </c>
      <c r="H1206" s="19">
        <f>[1]TOBEPAID!H932/1000</f>
        <v>0</v>
      </c>
      <c r="I1206" s="19">
        <f>[1]TOBEPAID!I932/1000</f>
        <v>0</v>
      </c>
      <c r="J1206" s="19">
        <f>[1]TOBEPAID!J932/1000</f>
        <v>0</v>
      </c>
      <c r="K1206" s="19">
        <f>[1]TOBEPAID!K932/1000</f>
        <v>0</v>
      </c>
      <c r="L1206" s="19">
        <f>[1]TOBEPAID!L932/1000</f>
        <v>0</v>
      </c>
      <c r="M1206" s="19">
        <f>[1]TOBEPAID!M932/1000</f>
        <v>0</v>
      </c>
      <c r="N1206" s="19">
        <f>[1]TOBEPAID!N932/1000</f>
        <v>0</v>
      </c>
      <c r="O1206" s="19">
        <f>[1]TOBEPAID!O932/1000</f>
        <v>15796.629800000001</v>
      </c>
      <c r="P1206" s="19">
        <f>[1]TOBEPAID!P932/1000</f>
        <v>0</v>
      </c>
      <c r="Q1206" s="19">
        <f>[1]TOBEPAID!Q932/1000</f>
        <v>0</v>
      </c>
      <c r="R1206" s="19">
        <f>15796929.8/1000</f>
        <v>15796.9298</v>
      </c>
      <c r="S1206" s="19">
        <f>[1]TOBEPAID!S932/1000</f>
        <v>0</v>
      </c>
      <c r="T1206" s="19">
        <f>[1]TOBEPAID!T932/1000</f>
        <v>0</v>
      </c>
      <c r="U1206" s="19">
        <f>[1]TOBEPAID!U932/1000</f>
        <v>0</v>
      </c>
      <c r="V1206" s="19">
        <f>[1]TOBEPAID!V932/1000</f>
        <v>0</v>
      </c>
      <c r="W1206" s="19">
        <f>[1]TOBEPAID!W932/1000</f>
        <v>0</v>
      </c>
      <c r="X1206" s="19">
        <f>[1]TOBEPAID!X932/1000</f>
        <v>15796.629800000001</v>
      </c>
      <c r="Y1206" s="19">
        <f>+H1206+R1206</f>
        <v>15796.9298</v>
      </c>
      <c r="Z1206" s="19">
        <f>+Y1206-D1206</f>
        <v>0.40079999999943539</v>
      </c>
      <c r="AA1206" s="19">
        <f>[1]TOBEPAID!AA932/1000</f>
        <v>15796.629800000001</v>
      </c>
      <c r="AB1206" s="19">
        <f>[1]TOBEPAID!AB932/1000</f>
        <v>0</v>
      </c>
      <c r="AC1206" s="19"/>
      <c r="AD1206" s="19"/>
      <c r="AF1206" s="34"/>
      <c r="AG1206" s="34"/>
      <c r="AH1206" s="34"/>
      <c r="AI1206" s="34"/>
      <c r="AJ1206" s="34"/>
      <c r="AK1206" s="34"/>
      <c r="AL1206" s="34"/>
      <c r="AM1206" s="34"/>
      <c r="AN1206" s="34"/>
      <c r="AO1206" s="34"/>
      <c r="AP1206" s="34"/>
      <c r="AQ1206" s="34"/>
      <c r="AR1206" s="34"/>
      <c r="AS1206" s="34"/>
    </row>
    <row r="1207" spans="1:45" x14ac:dyDescent="0.2">
      <c r="A1207" s="18"/>
      <c r="D1207" s="21" t="s">
        <v>57</v>
      </c>
      <c r="E1207" s="21" t="s">
        <v>57</v>
      </c>
      <c r="F1207" s="21" t="s">
        <v>57</v>
      </c>
      <c r="G1207" s="21"/>
      <c r="H1207" s="21" t="s">
        <v>57</v>
      </c>
      <c r="I1207" s="21" t="s">
        <v>57</v>
      </c>
      <c r="J1207" s="21" t="s">
        <v>57</v>
      </c>
      <c r="K1207" s="21" t="s">
        <v>57</v>
      </c>
      <c r="L1207" s="21" t="s">
        <v>57</v>
      </c>
      <c r="M1207" s="21"/>
      <c r="N1207" s="21" t="s">
        <v>57</v>
      </c>
      <c r="O1207" s="21" t="s">
        <v>57</v>
      </c>
      <c r="P1207" s="21" t="s">
        <v>57</v>
      </c>
      <c r="Q1207" s="21"/>
      <c r="R1207" s="21" t="s">
        <v>57</v>
      </c>
      <c r="S1207" s="21" t="s">
        <v>57</v>
      </c>
      <c r="T1207" s="21" t="s">
        <v>57</v>
      </c>
      <c r="U1207" s="21" t="s">
        <v>57</v>
      </c>
      <c r="V1207" s="21" t="s">
        <v>57</v>
      </c>
      <c r="W1207" s="21"/>
      <c r="X1207" s="21" t="s">
        <v>57</v>
      </c>
      <c r="Y1207" s="21" t="s">
        <v>57</v>
      </c>
      <c r="Z1207" s="21" t="s">
        <v>57</v>
      </c>
      <c r="AA1207" s="21" t="s">
        <v>57</v>
      </c>
      <c r="AB1207" s="21" t="s">
        <v>57</v>
      </c>
      <c r="AC1207" s="21"/>
      <c r="AD1207" s="21"/>
      <c r="AF1207" s="34"/>
      <c r="AG1207" s="34"/>
      <c r="AH1207" s="34"/>
      <c r="AI1207" s="34"/>
      <c r="AJ1207" s="34"/>
      <c r="AK1207" s="34"/>
      <c r="AL1207" s="34"/>
      <c r="AM1207" s="34"/>
      <c r="AN1207" s="34"/>
      <c r="AO1207" s="34"/>
      <c r="AP1207" s="34"/>
      <c r="AQ1207" s="34"/>
      <c r="AR1207" s="34"/>
      <c r="AS1207" s="34"/>
    </row>
    <row r="1208" spans="1:45" x14ac:dyDescent="0.2">
      <c r="A1208" s="18"/>
      <c r="D1208" s="30">
        <f>SUM(D1203:D1206)</f>
        <v>87284.496999999988</v>
      </c>
      <c r="E1208" s="30">
        <f>SUM(E1203:E1206)</f>
        <v>21.254999999999999</v>
      </c>
      <c r="F1208" s="30">
        <f>SUM(F1203:F1206)</f>
        <v>0</v>
      </c>
      <c r="G1208" s="30"/>
      <c r="H1208" s="30">
        <f>SUM(H1203:H1206)</f>
        <v>21.254999999999999</v>
      </c>
      <c r="I1208" s="30">
        <f>SUM(I1203:I1206)</f>
        <v>0</v>
      </c>
      <c r="J1208" s="30">
        <f>SUM(J1203:J1206)</f>
        <v>0</v>
      </c>
      <c r="K1208" s="30">
        <f>SUM(K1203:K1206)</f>
        <v>0</v>
      </c>
      <c r="L1208" s="30">
        <f>SUM(L1203:L1206)</f>
        <v>0</v>
      </c>
      <c r="M1208" s="30"/>
      <c r="N1208" s="30">
        <f>SUM(N1203:N1206)</f>
        <v>21.254999999999999</v>
      </c>
      <c r="O1208" s="30">
        <f>SUM(O1203:O1206)</f>
        <v>21292.38135</v>
      </c>
      <c r="P1208" s="30">
        <f>SUM(P1203:P1206)</f>
        <v>0</v>
      </c>
      <c r="Q1208" s="30"/>
      <c r="R1208" s="30">
        <f>+R1203+R1204+R1205+R1206</f>
        <v>23893.97435</v>
      </c>
      <c r="S1208" s="30">
        <f>SUM(S1203:S1206)</f>
        <v>0</v>
      </c>
      <c r="T1208" s="30">
        <f>SUM(T1203:T1206)</f>
        <v>0</v>
      </c>
      <c r="U1208" s="30">
        <f>SUM(U1203:U1206)</f>
        <v>0</v>
      </c>
      <c r="V1208" s="30">
        <f>SUM(V1203:V1206)</f>
        <v>0</v>
      </c>
      <c r="W1208" s="30"/>
      <c r="X1208" s="30">
        <f>SUM(X1203:X1206)</f>
        <v>21292.38135</v>
      </c>
      <c r="Y1208" s="30">
        <f>SUM(Y1203:Y1206)</f>
        <v>23915.229350000001</v>
      </c>
      <c r="Z1208" s="30">
        <f>SUM(Z1203:Z1206)</f>
        <v>63370.06925</v>
      </c>
      <c r="AA1208" s="30">
        <f>SUM(AA1203:AA1206)</f>
        <v>21313.636350000001</v>
      </c>
      <c r="AB1208" s="30">
        <f>SUM(AB1203:AB1206)</f>
        <v>65970.962</v>
      </c>
      <c r="AC1208" s="30"/>
      <c r="AD1208" s="30"/>
      <c r="AF1208" s="34"/>
      <c r="AG1208" s="34"/>
      <c r="AH1208" s="34"/>
      <c r="AI1208" s="34"/>
      <c r="AJ1208" s="34"/>
      <c r="AK1208" s="34"/>
      <c r="AL1208" s="34"/>
      <c r="AM1208" s="34"/>
      <c r="AN1208" s="34"/>
      <c r="AO1208" s="34"/>
      <c r="AP1208" s="34"/>
      <c r="AQ1208" s="34"/>
      <c r="AR1208" s="34"/>
      <c r="AS1208" s="34"/>
    </row>
    <row r="1209" spans="1:45" x14ac:dyDescent="0.2">
      <c r="A1209" s="18"/>
      <c r="D1209" s="21" t="s">
        <v>57</v>
      </c>
      <c r="E1209" s="21" t="s">
        <v>57</v>
      </c>
      <c r="F1209" s="21" t="s">
        <v>57</v>
      </c>
      <c r="G1209" s="21"/>
      <c r="H1209" s="21" t="s">
        <v>57</v>
      </c>
      <c r="I1209" s="21" t="s">
        <v>57</v>
      </c>
      <c r="J1209" s="21" t="s">
        <v>57</v>
      </c>
      <c r="K1209" s="21" t="s">
        <v>57</v>
      </c>
      <c r="L1209" s="21" t="s">
        <v>57</v>
      </c>
      <c r="M1209" s="21"/>
      <c r="N1209" s="21" t="s">
        <v>57</v>
      </c>
      <c r="O1209" s="21" t="s">
        <v>57</v>
      </c>
      <c r="P1209" s="21" t="s">
        <v>57</v>
      </c>
      <c r="Q1209" s="21"/>
      <c r="R1209" s="21" t="s">
        <v>57</v>
      </c>
      <c r="S1209" s="21" t="s">
        <v>57</v>
      </c>
      <c r="T1209" s="21" t="s">
        <v>57</v>
      </c>
      <c r="U1209" s="21" t="s">
        <v>57</v>
      </c>
      <c r="V1209" s="21" t="s">
        <v>57</v>
      </c>
      <c r="W1209" s="21"/>
      <c r="X1209" s="21" t="s">
        <v>57</v>
      </c>
      <c r="Y1209" s="21" t="s">
        <v>57</v>
      </c>
      <c r="Z1209" s="21" t="s">
        <v>57</v>
      </c>
      <c r="AA1209" s="21" t="s">
        <v>57</v>
      </c>
      <c r="AB1209" s="21" t="s">
        <v>57</v>
      </c>
      <c r="AC1209" s="21"/>
      <c r="AD1209" s="21"/>
      <c r="AF1209" s="34"/>
      <c r="AG1209" s="34"/>
      <c r="AH1209" s="34"/>
      <c r="AI1209" s="34"/>
      <c r="AJ1209" s="34"/>
      <c r="AK1209" s="34"/>
      <c r="AL1209" s="34"/>
      <c r="AM1209" s="34"/>
      <c r="AN1209" s="34"/>
      <c r="AO1209" s="34"/>
      <c r="AP1209" s="34"/>
      <c r="AQ1209" s="34"/>
      <c r="AR1209" s="34"/>
      <c r="AS1209" s="34"/>
    </row>
    <row r="1210" spans="1:45" x14ac:dyDescent="0.2">
      <c r="A1210" s="18">
        <v>96</v>
      </c>
      <c r="B1210" s="3" t="s">
        <v>338</v>
      </c>
      <c r="C1210" s="17" t="s">
        <v>51</v>
      </c>
      <c r="D1210" s="19">
        <f>1138278.92/1000</f>
        <v>1138.27892</v>
      </c>
      <c r="E1210" s="19">
        <f>[1]TOBEPAID!E936/1000</f>
        <v>0</v>
      </c>
      <c r="F1210" s="19">
        <f>[1]TOBEPAID!F936/1000</f>
        <v>0</v>
      </c>
      <c r="G1210" s="19">
        <f>[1]TOBEPAID!G936/1000</f>
        <v>0</v>
      </c>
      <c r="H1210" s="19">
        <v>0</v>
      </c>
      <c r="I1210" s="19">
        <f>[1]TOBEPAID!I936/1000</f>
        <v>0</v>
      </c>
      <c r="J1210" s="19">
        <f>[1]TOBEPAID!J936/1000</f>
        <v>0</v>
      </c>
      <c r="K1210" s="19">
        <f>[1]TOBEPAID!K936/1000</f>
        <v>0</v>
      </c>
      <c r="L1210" s="19">
        <f>[1]TOBEPAID!L936/1000</f>
        <v>0</v>
      </c>
      <c r="M1210" s="19">
        <f>[1]TOBEPAID!M936/1000</f>
        <v>0</v>
      </c>
      <c r="N1210" s="19">
        <f>[1]TOBEPAID!N936/1000</f>
        <v>0</v>
      </c>
      <c r="O1210" s="19">
        <f>[1]TOBEPAID!O936/1000</f>
        <v>1138.2513200000001</v>
      </c>
      <c r="P1210" s="19">
        <f>[1]TOBEPAID!P936/1000</f>
        <v>0</v>
      </c>
      <c r="Q1210" s="19">
        <f>[1]TOBEPAID!Q936/1000</f>
        <v>0</v>
      </c>
      <c r="R1210" s="19">
        <f>1138278/1000</f>
        <v>1138.278</v>
      </c>
      <c r="S1210" s="19">
        <f>[1]TOBEPAID!S936/1000</f>
        <v>0</v>
      </c>
      <c r="T1210" s="19">
        <f>[1]TOBEPAID!T936/1000</f>
        <v>0</v>
      </c>
      <c r="U1210" s="19">
        <f>[1]TOBEPAID!U936/1000</f>
        <v>0</v>
      </c>
      <c r="V1210" s="19">
        <f>[1]TOBEPAID!V936/1000</f>
        <v>0</v>
      </c>
      <c r="W1210" s="19">
        <f>[1]TOBEPAID!W936/1000</f>
        <v>0</v>
      </c>
      <c r="X1210" s="19">
        <f>[1]TOBEPAID!X936/1000</f>
        <v>1138.2513200000001</v>
      </c>
      <c r="Y1210" s="19">
        <f>+H1210+R1210</f>
        <v>1138.278</v>
      </c>
      <c r="Z1210" s="19">
        <f t="shared" ref="Z1210:Z1222" si="225">+D1210-Y1210</f>
        <v>9.1999999995096005E-4</v>
      </c>
      <c r="AA1210" s="19">
        <f>[1]TOBEPAID!AA936/1000</f>
        <v>1138.2513200000001</v>
      </c>
      <c r="AB1210" s="19">
        <f>[1]TOBEPAID!AB936/1000</f>
        <v>2.7599999999860302E-2</v>
      </c>
      <c r="AC1210" s="19"/>
      <c r="AD1210" s="19"/>
      <c r="AF1210" s="34"/>
      <c r="AG1210" s="34"/>
      <c r="AH1210" s="34"/>
      <c r="AI1210" s="34"/>
      <c r="AJ1210" s="34"/>
      <c r="AK1210" s="34"/>
      <c r="AL1210" s="34"/>
      <c r="AM1210" s="34"/>
      <c r="AN1210" s="34"/>
      <c r="AO1210" s="34"/>
      <c r="AP1210" s="34"/>
      <c r="AQ1210" s="34"/>
      <c r="AR1210" s="34"/>
    </row>
    <row r="1211" spans="1:45" x14ac:dyDescent="0.2">
      <c r="A1211" s="18"/>
      <c r="C1211" s="3" t="s">
        <v>87</v>
      </c>
      <c r="D1211" s="19">
        <f>10237064/1000</f>
        <v>10237.064</v>
      </c>
      <c r="E1211" s="19">
        <f>[1]TOBEPAID!E937/1000</f>
        <v>0</v>
      </c>
      <c r="F1211" s="19">
        <f>[1]TOBEPAID!F937/1000</f>
        <v>0</v>
      </c>
      <c r="G1211" s="19">
        <f>[1]TOBEPAID!G937/1000</f>
        <v>0</v>
      </c>
      <c r="H1211" s="19">
        <v>0</v>
      </c>
      <c r="I1211" s="19">
        <f>[1]TOBEPAID!I937/1000</f>
        <v>0</v>
      </c>
      <c r="J1211" s="19">
        <f>[1]TOBEPAID!J937/1000</f>
        <v>0</v>
      </c>
      <c r="K1211" s="19">
        <f>[1]TOBEPAID!K937/1000</f>
        <v>0</v>
      </c>
      <c r="L1211" s="19">
        <f>[1]TOBEPAID!L937/1000</f>
        <v>0</v>
      </c>
      <c r="M1211" s="19">
        <f>[1]TOBEPAID!M937/1000</f>
        <v>0</v>
      </c>
      <c r="N1211" s="19">
        <f>[1]TOBEPAID!N937/1000</f>
        <v>0</v>
      </c>
      <c r="O1211" s="19">
        <f>[1]TOBEPAID!O937/1000</f>
        <v>9624.2872599999992</v>
      </c>
      <c r="P1211" s="19">
        <f>[1]TOBEPAID!P937/1000</f>
        <v>872.51886000000002</v>
      </c>
      <c r="Q1211" s="19">
        <f>[1]TOBEPAID!Q937/1000</f>
        <v>0</v>
      </c>
      <c r="R1211" s="19">
        <f>10237064/1000</f>
        <v>10237.064</v>
      </c>
      <c r="S1211" s="19">
        <f>[1]TOBEPAID!S937/1000</f>
        <v>0</v>
      </c>
      <c r="T1211" s="19">
        <f>[1]TOBEPAID!T937/1000</f>
        <v>0</v>
      </c>
      <c r="U1211" s="19">
        <f>[1]TOBEPAID!U937/1000</f>
        <v>0</v>
      </c>
      <c r="V1211" s="19">
        <f>[1]TOBEPAID!V937/1000</f>
        <v>0</v>
      </c>
      <c r="W1211" s="19">
        <f>[1]TOBEPAID!W937/1000</f>
        <v>0</v>
      </c>
      <c r="X1211" s="19">
        <f>[1]TOBEPAID!X937/1000</f>
        <v>10496.806119999999</v>
      </c>
      <c r="Y1211" s="19">
        <f t="shared" ref="Y1211:Y1222" si="226">+H1211+R1211</f>
        <v>10237.064</v>
      </c>
      <c r="Z1211" s="19">
        <f t="shared" si="225"/>
        <v>0</v>
      </c>
      <c r="AA1211" s="19">
        <f>[1]TOBEPAID!AA937/1000</f>
        <v>10496.806119999999</v>
      </c>
      <c r="AB1211" s="19">
        <f>[1]TOBEPAID!AB937/1000</f>
        <v>-1168.5345499999989</v>
      </c>
      <c r="AC1211" s="19"/>
      <c r="AD1211" s="19"/>
    </row>
    <row r="1212" spans="1:45" x14ac:dyDescent="0.2">
      <c r="A1212" s="18"/>
      <c r="C1212" s="3" t="s">
        <v>110</v>
      </c>
      <c r="D1212" s="19">
        <f>117660002.08/1000</f>
        <v>117660.00207999999</v>
      </c>
      <c r="E1212" s="19"/>
      <c r="F1212" s="19"/>
      <c r="G1212" s="19"/>
      <c r="H1212" s="19">
        <f>117093482.11/1000</f>
        <v>117093.48211</v>
      </c>
      <c r="I1212" s="19"/>
      <c r="J1212" s="19"/>
      <c r="K1212" s="19"/>
      <c r="L1212" s="19"/>
      <c r="M1212" s="19"/>
      <c r="N1212" s="19"/>
      <c r="O1212" s="19"/>
      <c r="P1212" s="19"/>
      <c r="Q1212" s="19"/>
      <c r="R1212" s="19">
        <f>566460.14/1000</f>
        <v>566.46014000000002</v>
      </c>
      <c r="S1212" s="19"/>
      <c r="T1212" s="19"/>
      <c r="U1212" s="19"/>
      <c r="V1212" s="19"/>
      <c r="W1212" s="19"/>
      <c r="X1212" s="19"/>
      <c r="Y1212" s="19">
        <f>+H1212+R1212</f>
        <v>117659.94224999999</v>
      </c>
      <c r="Z1212" s="19">
        <f t="shared" si="225"/>
        <v>5.9829999998328276E-2</v>
      </c>
      <c r="AA1212" s="19"/>
      <c r="AB1212" s="19"/>
      <c r="AC1212" s="19"/>
      <c r="AD1212" s="19"/>
    </row>
    <row r="1213" spans="1:45" x14ac:dyDescent="0.2">
      <c r="C1213" s="3" t="s">
        <v>250</v>
      </c>
      <c r="D1213" s="19">
        <f>83981771/1000</f>
        <v>83981.770999999993</v>
      </c>
      <c r="E1213" s="19">
        <f>[1]TOBEPAID!E938/1000</f>
        <v>0</v>
      </c>
      <c r="F1213" s="19">
        <f>[1]TOBEPAID!F938/1000</f>
        <v>0</v>
      </c>
      <c r="G1213" s="19">
        <f>[1]TOBEPAID!G938/1000</f>
        <v>0</v>
      </c>
      <c r="H1213" s="19">
        <f>83981771/1000</f>
        <v>83981.770999999993</v>
      </c>
      <c r="I1213" s="19">
        <f>[1]TOBEPAID!I938/1000</f>
        <v>0</v>
      </c>
      <c r="J1213" s="19">
        <f>[1]TOBEPAID!J938/1000</f>
        <v>0</v>
      </c>
      <c r="K1213" s="19">
        <f>[1]TOBEPAID!K938/1000</f>
        <v>0</v>
      </c>
      <c r="L1213" s="19">
        <f>[1]TOBEPAID!L938/1000</f>
        <v>0</v>
      </c>
      <c r="M1213" s="19">
        <f>[1]TOBEPAID!M938/1000</f>
        <v>0</v>
      </c>
      <c r="N1213" s="19">
        <f>[1]TOBEPAID!N938/1000</f>
        <v>0</v>
      </c>
      <c r="O1213" s="19">
        <f>[1]TOBEPAID!O938/1000</f>
        <v>0</v>
      </c>
      <c r="P1213" s="19">
        <f>[1]TOBEPAID!P938/1000</f>
        <v>0</v>
      </c>
      <c r="Q1213" s="19">
        <f>[1]TOBEPAID!Q938/1000</f>
        <v>0</v>
      </c>
      <c r="R1213" s="19">
        <f>[1]TOBEPAID!R938/1000</f>
        <v>0</v>
      </c>
      <c r="S1213" s="19">
        <f>[1]TOBEPAID!S938/1000</f>
        <v>0</v>
      </c>
      <c r="T1213" s="19">
        <f>[1]TOBEPAID!T938/1000</f>
        <v>0</v>
      </c>
      <c r="U1213" s="19">
        <f>[1]TOBEPAID!U938/1000</f>
        <v>0</v>
      </c>
      <c r="V1213" s="19">
        <f>[1]TOBEPAID!V938/1000</f>
        <v>0</v>
      </c>
      <c r="W1213" s="19">
        <f>[1]TOBEPAID!W938/1000</f>
        <v>0</v>
      </c>
      <c r="X1213" s="19">
        <f>[1]TOBEPAID!X938/1000</f>
        <v>0</v>
      </c>
      <c r="Y1213" s="19">
        <f t="shared" si="226"/>
        <v>83981.770999999993</v>
      </c>
      <c r="Z1213" s="19">
        <f t="shared" si="225"/>
        <v>0</v>
      </c>
      <c r="AA1213" s="19">
        <f>[1]TOBEPAID!AA938/1000</f>
        <v>0</v>
      </c>
      <c r="AB1213" s="19">
        <f>[1]TOBEPAID!AB938/1000</f>
        <v>13901</v>
      </c>
      <c r="AC1213" s="19"/>
      <c r="AD1213" s="19"/>
      <c r="AS1213" s="34"/>
    </row>
    <row r="1214" spans="1:45" x14ac:dyDescent="0.2">
      <c r="C1214" s="3" t="s">
        <v>339</v>
      </c>
      <c r="D1214" s="19">
        <f>18000000/1000</f>
        <v>18000</v>
      </c>
      <c r="E1214" s="19"/>
      <c r="F1214" s="19"/>
      <c r="G1214" s="19"/>
      <c r="H1214" s="19">
        <f>18000000/1000</f>
        <v>18000</v>
      </c>
      <c r="I1214" s="19"/>
      <c r="J1214" s="19"/>
      <c r="K1214" s="19"/>
      <c r="L1214" s="19"/>
      <c r="M1214" s="19"/>
      <c r="N1214" s="19"/>
      <c r="O1214" s="19"/>
      <c r="P1214" s="19"/>
      <c r="Q1214" s="19"/>
      <c r="R1214" s="19">
        <v>0</v>
      </c>
      <c r="S1214" s="19"/>
      <c r="T1214" s="19"/>
      <c r="U1214" s="19"/>
      <c r="V1214" s="19"/>
      <c r="W1214" s="19"/>
      <c r="X1214" s="19"/>
      <c r="Y1214" s="19">
        <f t="shared" si="226"/>
        <v>18000</v>
      </c>
      <c r="Z1214" s="19">
        <f t="shared" si="225"/>
        <v>0</v>
      </c>
      <c r="AA1214" s="19"/>
      <c r="AB1214" s="19"/>
      <c r="AC1214" s="19"/>
      <c r="AD1214" s="19"/>
      <c r="AS1214" s="34"/>
    </row>
    <row r="1215" spans="1:45" x14ac:dyDescent="0.2">
      <c r="C1215" s="3" t="s">
        <v>340</v>
      </c>
      <c r="D1215" s="19">
        <f>11138743/1000</f>
        <v>11138.743</v>
      </c>
      <c r="E1215" s="19"/>
      <c r="F1215" s="19"/>
      <c r="G1215" s="19"/>
      <c r="H1215" s="19">
        <f>11138743/1000</f>
        <v>11138.743</v>
      </c>
      <c r="I1215" s="19"/>
      <c r="J1215" s="19"/>
      <c r="K1215" s="19"/>
      <c r="L1215" s="19"/>
      <c r="M1215" s="19"/>
      <c r="N1215" s="19"/>
      <c r="O1215" s="19"/>
      <c r="P1215" s="19"/>
      <c r="Q1215" s="19"/>
      <c r="R1215" s="19">
        <v>0</v>
      </c>
      <c r="S1215" s="19"/>
      <c r="T1215" s="19"/>
      <c r="U1215" s="19"/>
      <c r="V1215" s="19"/>
      <c r="W1215" s="19"/>
      <c r="X1215" s="19"/>
      <c r="Y1215" s="19">
        <f t="shared" si="226"/>
        <v>11138.743</v>
      </c>
      <c r="Z1215" s="19">
        <f t="shared" si="225"/>
        <v>0</v>
      </c>
      <c r="AA1215" s="19"/>
      <c r="AB1215" s="19"/>
      <c r="AC1215" s="19"/>
      <c r="AD1215" s="19"/>
      <c r="AS1215" s="34"/>
    </row>
    <row r="1216" spans="1:45" x14ac:dyDescent="0.2">
      <c r="C1216" s="3" t="s">
        <v>341</v>
      </c>
      <c r="D1216" s="19">
        <f>18000000/1000</f>
        <v>18000</v>
      </c>
      <c r="E1216" s="19"/>
      <c r="F1216" s="19"/>
      <c r="G1216" s="19"/>
      <c r="H1216" s="19">
        <f>18000000/1000</f>
        <v>18000</v>
      </c>
      <c r="I1216" s="19"/>
      <c r="J1216" s="19"/>
      <c r="K1216" s="19"/>
      <c r="L1216" s="19"/>
      <c r="M1216" s="19"/>
      <c r="N1216" s="19"/>
      <c r="O1216" s="19"/>
      <c r="P1216" s="19"/>
      <c r="Q1216" s="19"/>
      <c r="R1216" s="19">
        <v>0</v>
      </c>
      <c r="S1216" s="19"/>
      <c r="T1216" s="19"/>
      <c r="U1216" s="19"/>
      <c r="V1216" s="19"/>
      <c r="W1216" s="19"/>
      <c r="X1216" s="19"/>
      <c r="Y1216" s="19">
        <f>+H1216+R1216</f>
        <v>18000</v>
      </c>
      <c r="Z1216" s="19">
        <f t="shared" si="225"/>
        <v>0</v>
      </c>
      <c r="AA1216" s="19"/>
      <c r="AB1216" s="19"/>
      <c r="AC1216" s="19"/>
      <c r="AD1216" s="19"/>
      <c r="AS1216" s="34"/>
    </row>
    <row r="1217" spans="1:45" x14ac:dyDescent="0.2">
      <c r="C1217" s="3" t="s">
        <v>341</v>
      </c>
      <c r="D1217" s="19">
        <f>12000000/1000</f>
        <v>12000</v>
      </c>
      <c r="E1217" s="19"/>
      <c r="F1217" s="19"/>
      <c r="G1217" s="19"/>
      <c r="H1217" s="19">
        <f>12000000/1000</f>
        <v>12000</v>
      </c>
      <c r="I1217" s="19"/>
      <c r="J1217" s="19"/>
      <c r="K1217" s="19"/>
      <c r="L1217" s="19"/>
      <c r="M1217" s="19"/>
      <c r="N1217" s="19"/>
      <c r="O1217" s="19"/>
      <c r="P1217" s="19"/>
      <c r="Q1217" s="19"/>
      <c r="R1217" s="19">
        <v>0</v>
      </c>
      <c r="S1217" s="19"/>
      <c r="T1217" s="19"/>
      <c r="U1217" s="19"/>
      <c r="V1217" s="19"/>
      <c r="W1217" s="19"/>
      <c r="X1217" s="19"/>
      <c r="Y1217" s="19">
        <f>+H1217+R1217</f>
        <v>12000</v>
      </c>
      <c r="Z1217" s="19">
        <f t="shared" si="225"/>
        <v>0</v>
      </c>
      <c r="AA1217" s="19"/>
      <c r="AB1217" s="19"/>
      <c r="AC1217" s="19"/>
      <c r="AD1217" s="19"/>
      <c r="AS1217" s="34"/>
    </row>
    <row r="1218" spans="1:45" x14ac:dyDescent="0.2">
      <c r="C1218" s="3" t="s">
        <v>342</v>
      </c>
      <c r="D1218" s="19">
        <f>10024664/1000</f>
        <v>10024.664000000001</v>
      </c>
      <c r="E1218" s="19"/>
      <c r="F1218" s="19"/>
      <c r="G1218" s="19"/>
      <c r="H1218" s="19">
        <f>10024664/1000</f>
        <v>10024.664000000001</v>
      </c>
      <c r="I1218" s="19"/>
      <c r="J1218" s="19"/>
      <c r="K1218" s="19"/>
      <c r="L1218" s="19"/>
      <c r="M1218" s="19"/>
      <c r="N1218" s="19"/>
      <c r="O1218" s="19"/>
      <c r="P1218" s="19"/>
      <c r="Q1218" s="19"/>
      <c r="R1218" s="19">
        <v>0</v>
      </c>
      <c r="S1218" s="19"/>
      <c r="T1218" s="19"/>
      <c r="U1218" s="19"/>
      <c r="V1218" s="19"/>
      <c r="W1218" s="19"/>
      <c r="X1218" s="19"/>
      <c r="Y1218" s="19">
        <f>+H1218+R1218</f>
        <v>10024.664000000001</v>
      </c>
      <c r="Z1218" s="19">
        <f t="shared" si="225"/>
        <v>0</v>
      </c>
      <c r="AA1218" s="19"/>
      <c r="AB1218" s="19"/>
      <c r="AC1218" s="19"/>
      <c r="AD1218" s="19"/>
      <c r="AS1218" s="34"/>
    </row>
    <row r="1219" spans="1:45" x14ac:dyDescent="0.2">
      <c r="C1219" s="3" t="s">
        <v>275</v>
      </c>
      <c r="D1219" s="19">
        <f>10908328/1000</f>
        <v>10908.328</v>
      </c>
      <c r="E1219" s="19"/>
      <c r="F1219" s="19"/>
      <c r="G1219" s="19"/>
      <c r="H1219" s="19">
        <f>10908328/1000</f>
        <v>10908.328</v>
      </c>
      <c r="I1219" s="19"/>
      <c r="J1219" s="19"/>
      <c r="K1219" s="19"/>
      <c r="L1219" s="19"/>
      <c r="M1219" s="19"/>
      <c r="N1219" s="19"/>
      <c r="O1219" s="19"/>
      <c r="P1219" s="19"/>
      <c r="Q1219" s="19"/>
      <c r="R1219" s="19">
        <v>0</v>
      </c>
      <c r="S1219" s="19"/>
      <c r="T1219" s="19"/>
      <c r="U1219" s="19"/>
      <c r="V1219" s="19"/>
      <c r="W1219" s="19"/>
      <c r="X1219" s="19"/>
      <c r="Y1219" s="19">
        <f t="shared" si="226"/>
        <v>10908.328</v>
      </c>
      <c r="Z1219" s="19">
        <f t="shared" si="225"/>
        <v>0</v>
      </c>
      <c r="AA1219" s="19"/>
      <c r="AB1219" s="19"/>
      <c r="AC1219" s="19"/>
      <c r="AD1219" s="19"/>
      <c r="AS1219" s="34"/>
    </row>
    <row r="1220" spans="1:45" x14ac:dyDescent="0.2">
      <c r="C1220" s="3" t="s">
        <v>55</v>
      </c>
      <c r="D1220" s="19">
        <f>1851621/1000</f>
        <v>1851.6210000000001</v>
      </c>
      <c r="E1220" s="19">
        <f>[1]TOBEPAID!E939/1000</f>
        <v>0</v>
      </c>
      <c r="F1220" s="19">
        <f>[1]TOBEPAID!F939/1000</f>
        <v>0</v>
      </c>
      <c r="G1220" s="19">
        <f>[1]TOBEPAID!G939/1000</f>
        <v>0</v>
      </c>
      <c r="H1220" s="19">
        <v>0</v>
      </c>
      <c r="I1220" s="19">
        <f>[1]TOBEPAID!I939/1000</f>
        <v>0</v>
      </c>
      <c r="J1220" s="19">
        <f>[1]TOBEPAID!J939/1000</f>
        <v>0</v>
      </c>
      <c r="K1220" s="19">
        <f>[1]TOBEPAID!K939/1000</f>
        <v>0</v>
      </c>
      <c r="L1220" s="19">
        <f>[1]TOBEPAID!L939/1000</f>
        <v>0</v>
      </c>
      <c r="M1220" s="19">
        <f>[1]TOBEPAID!M939/1000</f>
        <v>0</v>
      </c>
      <c r="N1220" s="19">
        <f>[1]TOBEPAID!N939/1000</f>
        <v>0</v>
      </c>
      <c r="O1220" s="19">
        <f>[1]TOBEPAID!O939/1000</f>
        <v>1861.6213700000001</v>
      </c>
      <c r="P1220" s="19">
        <f>[1]TOBEPAID!P939/1000</f>
        <v>0</v>
      </c>
      <c r="Q1220" s="19">
        <f>[1]TOBEPAID!Q939/1000</f>
        <v>0</v>
      </c>
      <c r="R1220" s="19">
        <f>1851621/1000</f>
        <v>1851.6210000000001</v>
      </c>
      <c r="S1220" s="19">
        <f>[1]TOBEPAID!S939/1000</f>
        <v>0</v>
      </c>
      <c r="T1220" s="19">
        <f>[1]TOBEPAID!T939/1000</f>
        <v>0</v>
      </c>
      <c r="U1220" s="19">
        <f>[1]TOBEPAID!U939/1000</f>
        <v>0</v>
      </c>
      <c r="V1220" s="19">
        <f>[1]TOBEPAID!V939/1000</f>
        <v>0</v>
      </c>
      <c r="W1220" s="19">
        <f>[1]TOBEPAID!W939/1000</f>
        <v>0</v>
      </c>
      <c r="X1220" s="19">
        <f>[1]TOBEPAID!X939/1000</f>
        <v>1861.6213700000001</v>
      </c>
      <c r="Y1220" s="19">
        <f t="shared" si="226"/>
        <v>1851.6210000000001</v>
      </c>
      <c r="Z1220" s="19">
        <f t="shared" si="225"/>
        <v>0</v>
      </c>
      <c r="AA1220" s="19">
        <f>[1]TOBEPAID!AA939/1000</f>
        <v>1861.6213700000001</v>
      </c>
      <c r="AB1220" s="19">
        <f>[1]TOBEPAID!AB939/1000</f>
        <v>-1018.4445700000001</v>
      </c>
      <c r="AC1220" s="19"/>
      <c r="AD1220" s="19"/>
      <c r="AF1220" s="34"/>
      <c r="AG1220" s="34"/>
      <c r="AH1220" s="34"/>
      <c r="AI1220" s="34"/>
      <c r="AJ1220" s="34"/>
      <c r="AK1220" s="34"/>
      <c r="AL1220" s="34"/>
      <c r="AM1220" s="34"/>
      <c r="AN1220" s="34"/>
      <c r="AO1220" s="34"/>
      <c r="AP1220" s="34"/>
      <c r="AQ1220" s="34"/>
      <c r="AR1220" s="34"/>
      <c r="AS1220" s="34"/>
    </row>
    <row r="1221" spans="1:45" x14ac:dyDescent="0.2">
      <c r="A1221" s="18"/>
      <c r="C1221" s="3" t="s">
        <v>237</v>
      </c>
      <c r="D1221" s="19">
        <f>8339997.92/1000</f>
        <v>8339.9979199999998</v>
      </c>
      <c r="E1221" s="19">
        <f>[1]TOBEPAID!E940/1000</f>
        <v>8339.9979199999998</v>
      </c>
      <c r="F1221" s="19">
        <f>[1]TOBEPAID!F940/1000</f>
        <v>0</v>
      </c>
      <c r="G1221" s="19">
        <f>[1]TOBEPAID!G940/1000</f>
        <v>0</v>
      </c>
      <c r="H1221" s="19">
        <f>8339997/1000</f>
        <v>8339.9969999999994</v>
      </c>
      <c r="I1221" s="19">
        <f>[1]TOBEPAID!I940/1000</f>
        <v>0</v>
      </c>
      <c r="J1221" s="19">
        <f>[1]TOBEPAID!J940/1000</f>
        <v>0</v>
      </c>
      <c r="K1221" s="19">
        <f>[1]TOBEPAID!K940/1000</f>
        <v>0</v>
      </c>
      <c r="L1221" s="19">
        <f>[1]TOBEPAID!L940/1000</f>
        <v>0</v>
      </c>
      <c r="M1221" s="19">
        <f>[1]TOBEPAID!M940/1000</f>
        <v>0</v>
      </c>
      <c r="N1221" s="19">
        <f>[1]TOBEPAID!N940/1000</f>
        <v>8339.9979199999998</v>
      </c>
      <c r="O1221" s="19">
        <f>[1]TOBEPAID!O940/1000</f>
        <v>0</v>
      </c>
      <c r="P1221" s="19">
        <f>[1]TOBEPAID!P940/1000</f>
        <v>0</v>
      </c>
      <c r="Q1221" s="19">
        <f>[1]TOBEPAID!Q940/1000</f>
        <v>0</v>
      </c>
      <c r="R1221" s="19">
        <f>[1]TOBEPAID!R940/1000</f>
        <v>0</v>
      </c>
      <c r="S1221" s="19">
        <f>[1]TOBEPAID!S940/1000</f>
        <v>0</v>
      </c>
      <c r="T1221" s="19">
        <f>[1]TOBEPAID!T940/1000</f>
        <v>0</v>
      </c>
      <c r="U1221" s="19">
        <f>[1]TOBEPAID!U940/1000</f>
        <v>0</v>
      </c>
      <c r="V1221" s="19">
        <f>[1]TOBEPAID!V940/1000</f>
        <v>0</v>
      </c>
      <c r="W1221" s="19">
        <f>[1]TOBEPAID!W940/1000</f>
        <v>0</v>
      </c>
      <c r="X1221" s="19">
        <f>[1]TOBEPAID!X940/1000</f>
        <v>0</v>
      </c>
      <c r="Y1221" s="19">
        <f t="shared" si="226"/>
        <v>8339.9969999999994</v>
      </c>
      <c r="Z1221" s="19">
        <f t="shared" si="225"/>
        <v>9.200000004057074E-4</v>
      </c>
      <c r="AA1221" s="19">
        <f>[1]TOBEPAID!AA940/1000</f>
        <v>8339.9979199999998</v>
      </c>
      <c r="AB1221" s="19">
        <f>[1]TOBEPAID!AB940/1000</f>
        <v>1660.00208</v>
      </c>
      <c r="AC1221" s="19"/>
      <c r="AD1221" s="19"/>
      <c r="AF1221" s="34"/>
      <c r="AG1221" s="34"/>
      <c r="AH1221" s="34"/>
      <c r="AI1221" s="34"/>
      <c r="AJ1221" s="34"/>
      <c r="AK1221" s="34"/>
      <c r="AL1221" s="34"/>
      <c r="AM1221" s="34"/>
      <c r="AN1221" s="34"/>
      <c r="AO1221" s="34"/>
      <c r="AP1221" s="34"/>
      <c r="AQ1221" s="34"/>
      <c r="AR1221" s="34"/>
      <c r="AS1221" s="34"/>
    </row>
    <row r="1222" spans="1:45" x14ac:dyDescent="0.2">
      <c r="A1222" s="18"/>
      <c r="C1222" s="3" t="s">
        <v>343</v>
      </c>
      <c r="D1222" s="19">
        <f>2165213/1000</f>
        <v>2165.2130000000002</v>
      </c>
      <c r="E1222" s="19">
        <f>[1]TOBEPAID!E941/1000</f>
        <v>0</v>
      </c>
      <c r="F1222" s="19">
        <f>[1]TOBEPAID!F941/1000</f>
        <v>0</v>
      </c>
      <c r="G1222" s="19">
        <f>[1]TOBEPAID!G941/1000</f>
        <v>0</v>
      </c>
      <c r="H1222" s="19">
        <v>0</v>
      </c>
      <c r="I1222" s="19">
        <f>[1]TOBEPAID!I941/1000</f>
        <v>0</v>
      </c>
      <c r="J1222" s="19">
        <f>[1]TOBEPAID!J941/1000</f>
        <v>0</v>
      </c>
      <c r="K1222" s="19">
        <f>[1]TOBEPAID!K941/1000</f>
        <v>0</v>
      </c>
      <c r="L1222" s="19">
        <f>[1]TOBEPAID!L941/1000</f>
        <v>0</v>
      </c>
      <c r="M1222" s="19">
        <f>[1]TOBEPAID!M941/1000</f>
        <v>0</v>
      </c>
      <c r="N1222" s="19">
        <f>[1]TOBEPAID!N941/1000</f>
        <v>0</v>
      </c>
      <c r="O1222" s="19">
        <f>[1]TOBEPAID!O941/1000</f>
        <v>2165.21324</v>
      </c>
      <c r="P1222" s="19">
        <f>[1]TOBEPAID!P941/1000</f>
        <v>0</v>
      </c>
      <c r="Q1222" s="19">
        <f>[1]TOBEPAID!Q941/1000</f>
        <v>0</v>
      </c>
      <c r="R1222" s="19">
        <f>2165213/1000</f>
        <v>2165.2130000000002</v>
      </c>
      <c r="S1222" s="19">
        <f>[1]TOBEPAID!S941/1000</f>
        <v>0</v>
      </c>
      <c r="T1222" s="19">
        <f>[1]TOBEPAID!T941/1000</f>
        <v>0</v>
      </c>
      <c r="U1222" s="19">
        <f>[1]TOBEPAID!U941/1000</f>
        <v>0</v>
      </c>
      <c r="V1222" s="19">
        <f>[1]TOBEPAID!V941/1000</f>
        <v>0</v>
      </c>
      <c r="W1222" s="19">
        <f>[1]TOBEPAID!W941/1000</f>
        <v>0</v>
      </c>
      <c r="X1222" s="19">
        <f>[1]TOBEPAID!X941/1000</f>
        <v>2165.21324</v>
      </c>
      <c r="Y1222" s="19">
        <f t="shared" si="226"/>
        <v>2165.2130000000002</v>
      </c>
      <c r="Z1222" s="19">
        <f t="shared" si="225"/>
        <v>0</v>
      </c>
      <c r="AA1222" s="19">
        <f>[1]TOBEPAID!AA941/1000</f>
        <v>2165.21324</v>
      </c>
      <c r="AB1222" s="19">
        <f>[1]TOBEPAID!AB941/1000</f>
        <v>0</v>
      </c>
      <c r="AC1222" s="19"/>
      <c r="AD1222" s="19"/>
      <c r="AF1222" s="34"/>
      <c r="AG1222" s="34"/>
      <c r="AH1222" s="34"/>
      <c r="AI1222" s="34"/>
      <c r="AJ1222" s="34"/>
      <c r="AK1222" s="34"/>
      <c r="AL1222" s="34"/>
      <c r="AM1222" s="34"/>
      <c r="AN1222" s="34"/>
      <c r="AO1222" s="34"/>
      <c r="AP1222" s="34"/>
      <c r="AQ1222" s="34"/>
      <c r="AR1222" s="34"/>
      <c r="AS1222" s="34"/>
    </row>
    <row r="1223" spans="1:45" x14ac:dyDescent="0.2">
      <c r="A1223" s="18"/>
      <c r="D1223" s="21" t="s">
        <v>57</v>
      </c>
      <c r="E1223" s="21" t="s">
        <v>57</v>
      </c>
      <c r="F1223" s="21" t="s">
        <v>57</v>
      </c>
      <c r="G1223" s="21"/>
      <c r="H1223" s="21" t="s">
        <v>57</v>
      </c>
      <c r="I1223" s="21" t="s">
        <v>57</v>
      </c>
      <c r="J1223" s="21" t="s">
        <v>57</v>
      </c>
      <c r="K1223" s="21" t="s">
        <v>57</v>
      </c>
      <c r="L1223" s="21" t="s">
        <v>57</v>
      </c>
      <c r="M1223" s="21"/>
      <c r="N1223" s="21" t="s">
        <v>57</v>
      </c>
      <c r="O1223" s="21" t="s">
        <v>57</v>
      </c>
      <c r="P1223" s="21" t="s">
        <v>57</v>
      </c>
      <c r="Q1223" s="21"/>
      <c r="R1223" s="21" t="s">
        <v>57</v>
      </c>
      <c r="S1223" s="21" t="s">
        <v>57</v>
      </c>
      <c r="T1223" s="21" t="s">
        <v>57</v>
      </c>
      <c r="U1223" s="21" t="s">
        <v>57</v>
      </c>
      <c r="V1223" s="21" t="s">
        <v>57</v>
      </c>
      <c r="W1223" s="21"/>
      <c r="X1223" s="21" t="s">
        <v>57</v>
      </c>
      <c r="Y1223" s="21" t="s">
        <v>57</v>
      </c>
      <c r="Z1223" s="21" t="s">
        <v>57</v>
      </c>
      <c r="AA1223" s="21" t="s">
        <v>57</v>
      </c>
      <c r="AB1223" s="21" t="s">
        <v>57</v>
      </c>
      <c r="AC1223" s="21"/>
      <c r="AD1223" s="21"/>
      <c r="AF1223" s="34"/>
      <c r="AG1223" s="34"/>
      <c r="AH1223" s="34"/>
      <c r="AI1223" s="34"/>
      <c r="AJ1223" s="34"/>
      <c r="AK1223" s="34"/>
      <c r="AL1223" s="34"/>
      <c r="AM1223" s="34"/>
      <c r="AN1223" s="34"/>
      <c r="AO1223" s="34"/>
      <c r="AP1223" s="34"/>
      <c r="AQ1223" s="34"/>
      <c r="AR1223" s="34"/>
      <c r="AS1223" s="34"/>
    </row>
    <row r="1224" spans="1:45" x14ac:dyDescent="0.2">
      <c r="A1224" s="18"/>
      <c r="D1224" s="30">
        <f>SUM(D1210:D1222)</f>
        <v>305445.68291999988</v>
      </c>
      <c r="E1224" s="30">
        <f>SUM(E1210:E1222)</f>
        <v>8339.9979199999998</v>
      </c>
      <c r="F1224" s="30">
        <f>SUM(F1210:F1222)</f>
        <v>0</v>
      </c>
      <c r="G1224" s="30"/>
      <c r="H1224" s="30">
        <f>SUM(H1210:H1222)</f>
        <v>289486.98510999995</v>
      </c>
      <c r="I1224" s="30">
        <f>SUM(I1210:I1222)</f>
        <v>0</v>
      </c>
      <c r="J1224" s="30">
        <f>SUM(J1210:J1222)</f>
        <v>0</v>
      </c>
      <c r="K1224" s="30">
        <f>SUM(K1210:K1222)</f>
        <v>0</v>
      </c>
      <c r="L1224" s="30">
        <f>SUM(L1210:L1222)</f>
        <v>0</v>
      </c>
      <c r="M1224" s="30"/>
      <c r="N1224" s="30">
        <f>SUM(N1210:N1222)</f>
        <v>8339.9979199999998</v>
      </c>
      <c r="O1224" s="30">
        <f>SUM(O1210:O1222)</f>
        <v>14789.373189999998</v>
      </c>
      <c r="P1224" s="30">
        <f>SUM(P1210:P1222)</f>
        <v>872.51886000000002</v>
      </c>
      <c r="Q1224" s="30"/>
      <c r="R1224" s="30">
        <f>SUM(R1210:R1222)</f>
        <v>15958.636139999999</v>
      </c>
      <c r="S1224" s="30">
        <f>SUM(S1210:S1222)</f>
        <v>0</v>
      </c>
      <c r="T1224" s="30">
        <f>SUM(T1210:T1222)</f>
        <v>0</v>
      </c>
      <c r="U1224" s="30">
        <f>SUM(U1210:U1222)</f>
        <v>0</v>
      </c>
      <c r="V1224" s="30">
        <f>SUM(V1210:V1222)</f>
        <v>0</v>
      </c>
      <c r="W1224" s="30"/>
      <c r="X1224" s="30">
        <f>SUM(X1210:X1222)</f>
        <v>15661.892049999999</v>
      </c>
      <c r="Y1224" s="30">
        <f>SUM(Y1210:Y1222)</f>
        <v>305445.62124999991</v>
      </c>
      <c r="Z1224" s="30">
        <f>SUM(Z1210:Z1222)</f>
        <v>6.1669999998684943E-2</v>
      </c>
      <c r="AA1224" s="30">
        <f>SUM(AA1210:AA1222)</f>
        <v>24001.88997</v>
      </c>
      <c r="AB1224" s="30">
        <f>SUM(AB1210:AB1222)</f>
        <v>13374.050560000001</v>
      </c>
      <c r="AC1224" s="30"/>
      <c r="AD1224" s="30"/>
      <c r="AF1224" s="34"/>
      <c r="AG1224" s="34"/>
      <c r="AH1224" s="34"/>
      <c r="AI1224" s="34"/>
      <c r="AJ1224" s="34"/>
      <c r="AK1224" s="34"/>
      <c r="AL1224" s="34"/>
      <c r="AM1224" s="34"/>
      <c r="AN1224" s="34"/>
      <c r="AO1224" s="34"/>
      <c r="AP1224" s="34"/>
      <c r="AQ1224" s="34"/>
      <c r="AR1224" s="34"/>
      <c r="AS1224" s="34"/>
    </row>
    <row r="1225" spans="1:45" x14ac:dyDescent="0.2">
      <c r="A1225" s="18"/>
      <c r="D1225" s="21" t="s">
        <v>57</v>
      </c>
      <c r="E1225" s="21" t="s">
        <v>57</v>
      </c>
      <c r="F1225" s="21" t="s">
        <v>57</v>
      </c>
      <c r="G1225" s="21"/>
      <c r="H1225" s="21" t="s">
        <v>57</v>
      </c>
      <c r="I1225" s="21" t="s">
        <v>57</v>
      </c>
      <c r="J1225" s="21" t="s">
        <v>57</v>
      </c>
      <c r="K1225" s="21" t="s">
        <v>57</v>
      </c>
      <c r="L1225" s="21" t="s">
        <v>57</v>
      </c>
      <c r="M1225" s="21"/>
      <c r="N1225" s="21" t="s">
        <v>57</v>
      </c>
      <c r="O1225" s="21" t="s">
        <v>57</v>
      </c>
      <c r="P1225" s="21" t="s">
        <v>57</v>
      </c>
      <c r="Q1225" s="21"/>
      <c r="R1225" s="21" t="s">
        <v>57</v>
      </c>
      <c r="S1225" s="21" t="s">
        <v>57</v>
      </c>
      <c r="T1225" s="21" t="s">
        <v>57</v>
      </c>
      <c r="U1225" s="21" t="s">
        <v>57</v>
      </c>
      <c r="V1225" s="21" t="s">
        <v>57</v>
      </c>
      <c r="W1225" s="21"/>
      <c r="X1225" s="21" t="s">
        <v>57</v>
      </c>
      <c r="Y1225" s="21" t="s">
        <v>57</v>
      </c>
      <c r="Z1225" s="21" t="s">
        <v>57</v>
      </c>
      <c r="AA1225" s="21" t="s">
        <v>57</v>
      </c>
      <c r="AB1225" s="21" t="s">
        <v>57</v>
      </c>
      <c r="AC1225" s="21"/>
      <c r="AD1225" s="21"/>
      <c r="AF1225" s="34"/>
      <c r="AG1225" s="34"/>
      <c r="AH1225" s="34"/>
      <c r="AI1225" s="34"/>
      <c r="AJ1225" s="34"/>
      <c r="AK1225" s="34"/>
      <c r="AL1225" s="34"/>
      <c r="AM1225" s="34"/>
      <c r="AN1225" s="34"/>
      <c r="AO1225" s="34"/>
      <c r="AP1225" s="34"/>
      <c r="AQ1225" s="34"/>
      <c r="AR1225" s="34"/>
      <c r="AS1225" s="34"/>
    </row>
    <row r="1226" spans="1:45" x14ac:dyDescent="0.2">
      <c r="A1226" s="18"/>
      <c r="D1226" s="21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30"/>
      <c r="P1226" s="42"/>
      <c r="Q1226" s="30"/>
      <c r="R1226" s="29"/>
      <c r="S1226" s="21"/>
      <c r="T1226" s="21"/>
      <c r="U1226" s="21"/>
      <c r="V1226" s="30"/>
      <c r="W1226" s="21"/>
      <c r="X1226" s="21"/>
      <c r="Y1226" s="21"/>
      <c r="Z1226" s="21"/>
      <c r="AA1226" s="21"/>
      <c r="AB1226" s="21"/>
      <c r="AC1226" s="21"/>
      <c r="AD1226" s="21"/>
      <c r="AF1226" s="34"/>
      <c r="AG1226" s="34"/>
      <c r="AH1226" s="34"/>
      <c r="AI1226" s="34"/>
      <c r="AJ1226" s="34"/>
      <c r="AK1226" s="34"/>
      <c r="AL1226" s="34"/>
      <c r="AM1226" s="34"/>
      <c r="AN1226" s="34"/>
      <c r="AO1226" s="34"/>
      <c r="AP1226" s="34"/>
      <c r="AQ1226" s="34"/>
      <c r="AR1226" s="34"/>
      <c r="AS1226" s="34"/>
    </row>
    <row r="1227" spans="1:45" x14ac:dyDescent="0.2">
      <c r="A1227" s="18"/>
      <c r="D1227" s="21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8"/>
      <c r="Q1227" s="21"/>
      <c r="R1227" s="21"/>
      <c r="S1227" s="21"/>
      <c r="T1227" s="21"/>
      <c r="U1227" s="21"/>
      <c r="V1227" s="21"/>
      <c r="W1227" s="21"/>
      <c r="X1227" s="21"/>
      <c r="Y1227" s="21"/>
      <c r="Z1227" s="21"/>
      <c r="AA1227" s="21"/>
      <c r="AB1227" s="21"/>
      <c r="AC1227" s="21"/>
      <c r="AD1227" s="21"/>
      <c r="AF1227" s="34"/>
      <c r="AG1227" s="34"/>
      <c r="AH1227" s="34"/>
      <c r="AI1227" s="34"/>
      <c r="AJ1227" s="34"/>
      <c r="AK1227" s="34"/>
      <c r="AL1227" s="34"/>
      <c r="AM1227" s="34"/>
      <c r="AN1227" s="34"/>
      <c r="AO1227" s="34"/>
      <c r="AP1227" s="34"/>
      <c r="AQ1227" s="34"/>
      <c r="AR1227" s="34"/>
      <c r="AS1227" s="34"/>
    </row>
    <row r="1228" spans="1:45" x14ac:dyDescent="0.2">
      <c r="A1228" s="18">
        <v>97</v>
      </c>
      <c r="B1228" s="3" t="s">
        <v>344</v>
      </c>
      <c r="C1228" s="17" t="s">
        <v>51</v>
      </c>
      <c r="D1228" s="19">
        <f>59595817/1000</f>
        <v>59595.817000000003</v>
      </c>
      <c r="E1228" s="19">
        <f>[1]TOBEPAID!E947/1000</f>
        <v>6629.8556200000003</v>
      </c>
      <c r="F1228" s="19">
        <f>[1]TOBEPAID!F947/1000</f>
        <v>0</v>
      </c>
      <c r="G1228" s="19">
        <f>[1]TOBEPAID!G947/1000</f>
        <v>0</v>
      </c>
      <c r="H1228" s="19">
        <f>59588135.62/1000</f>
        <v>59588.135620000001</v>
      </c>
      <c r="I1228" s="19">
        <f>[1]TOBEPAID!I947/1000</f>
        <v>0</v>
      </c>
      <c r="J1228" s="19">
        <f>[1]TOBEPAID!J947/1000</f>
        <v>0</v>
      </c>
      <c r="K1228" s="19">
        <f>[1]TOBEPAID!K947/1000</f>
        <v>0</v>
      </c>
      <c r="L1228" s="19">
        <f>[1]TOBEPAID!L947/1000</f>
        <v>0</v>
      </c>
      <c r="M1228" s="19">
        <f>[1]TOBEPAID!M947/1000</f>
        <v>0</v>
      </c>
      <c r="N1228" s="19">
        <f>[1]TOBEPAID!N947/1000</f>
        <v>6629.8556200000003</v>
      </c>
      <c r="O1228" s="19">
        <f>[1]TOBEPAID!O947/1000</f>
        <v>0</v>
      </c>
      <c r="P1228" s="19">
        <f>[1]TOBEPAID!P947/1000</f>
        <v>0</v>
      </c>
      <c r="Q1228" s="19">
        <f>[1]TOBEPAID!Q947/1000</f>
        <v>0</v>
      </c>
      <c r="R1228" s="19">
        <v>0</v>
      </c>
      <c r="S1228" s="19">
        <f>[1]TOBEPAID!S947/1000</f>
        <v>0</v>
      </c>
      <c r="T1228" s="19">
        <f>[1]TOBEPAID!T947/1000</f>
        <v>0</v>
      </c>
      <c r="U1228" s="19">
        <f>[1]TOBEPAID!U947/1000</f>
        <v>0</v>
      </c>
      <c r="V1228" s="19">
        <f>[1]TOBEPAID!V947/1000</f>
        <v>0</v>
      </c>
      <c r="W1228" s="19">
        <f>[1]TOBEPAID!W947/1000</f>
        <v>0</v>
      </c>
      <c r="X1228" s="19">
        <f>[1]TOBEPAID!X947/1000</f>
        <v>0</v>
      </c>
      <c r="Y1228" s="19">
        <f t="shared" ref="Y1228:Y1235" si="227">+H1228+R1228</f>
        <v>59588.135620000001</v>
      </c>
      <c r="Z1228" s="19">
        <f>+D1228-Y1228</f>
        <v>7.6813800000018091</v>
      </c>
      <c r="AA1228" s="19">
        <f>[1]TOBEPAID!AA947/1000</f>
        <v>6629.8556200000003</v>
      </c>
      <c r="AB1228" s="19">
        <f>[1]TOBEPAID!AB947/1000</f>
        <v>21523.920919999997</v>
      </c>
      <c r="AC1228" s="19"/>
      <c r="AD1228" s="19"/>
      <c r="AF1228" s="34"/>
      <c r="AG1228" s="34"/>
      <c r="AH1228" s="34"/>
      <c r="AI1228" s="34"/>
      <c r="AJ1228" s="34"/>
      <c r="AK1228" s="34"/>
      <c r="AL1228" s="34"/>
      <c r="AM1228" s="34"/>
      <c r="AN1228" s="34"/>
      <c r="AO1228" s="34"/>
      <c r="AP1228" s="34"/>
      <c r="AQ1228" s="34"/>
      <c r="AR1228" s="34"/>
      <c r="AS1228" s="34"/>
    </row>
    <row r="1229" spans="1:45" x14ac:dyDescent="0.2">
      <c r="A1229" s="18"/>
      <c r="C1229" s="3" t="s">
        <v>52</v>
      </c>
      <c r="D1229" s="19">
        <f>1523974/1000</f>
        <v>1523.9739999999999</v>
      </c>
      <c r="E1229" s="19">
        <f>[1]TOBEPAID!E948/1000</f>
        <v>1523.9739999999999</v>
      </c>
      <c r="F1229" s="19">
        <f>[1]TOBEPAID!F948/1000</f>
        <v>0</v>
      </c>
      <c r="G1229" s="19">
        <f>[1]TOBEPAID!G948/1000</f>
        <v>0</v>
      </c>
      <c r="H1229" s="19">
        <f>1523974/1000</f>
        <v>1523.9739999999999</v>
      </c>
      <c r="I1229" s="19">
        <f>[1]TOBEPAID!I948/1000</f>
        <v>0</v>
      </c>
      <c r="J1229" s="19">
        <f>[1]TOBEPAID!J948/1000</f>
        <v>0</v>
      </c>
      <c r="K1229" s="19">
        <f>[1]TOBEPAID!K948/1000</f>
        <v>0</v>
      </c>
      <c r="L1229" s="19">
        <f>[1]TOBEPAID!L948/1000</f>
        <v>0</v>
      </c>
      <c r="M1229" s="19">
        <f>[1]TOBEPAID!M948/1000</f>
        <v>0</v>
      </c>
      <c r="N1229" s="19">
        <f>[1]TOBEPAID!N948/1000</f>
        <v>1523.9739999999999</v>
      </c>
      <c r="O1229" s="19">
        <f>[1]TOBEPAID!O948/1000</f>
        <v>0</v>
      </c>
      <c r="P1229" s="19">
        <f>[1]TOBEPAID!P948/1000</f>
        <v>0</v>
      </c>
      <c r="Q1229" s="19">
        <f>[1]TOBEPAID!Q948/1000</f>
        <v>0</v>
      </c>
      <c r="R1229" s="19">
        <v>0</v>
      </c>
      <c r="S1229" s="19">
        <f>[1]TOBEPAID!S948/1000</f>
        <v>0</v>
      </c>
      <c r="T1229" s="19">
        <f>[1]TOBEPAID!T948/1000</f>
        <v>0</v>
      </c>
      <c r="U1229" s="19">
        <f>[1]TOBEPAID!U948/1000</f>
        <v>0</v>
      </c>
      <c r="V1229" s="19">
        <f>[1]TOBEPAID!V948/1000</f>
        <v>0</v>
      </c>
      <c r="W1229" s="19">
        <f>[1]TOBEPAID!W948/1000</f>
        <v>0</v>
      </c>
      <c r="X1229" s="19">
        <f>[1]TOBEPAID!X948/1000</f>
        <v>0</v>
      </c>
      <c r="Y1229" s="19">
        <f t="shared" si="227"/>
        <v>1523.9739999999999</v>
      </c>
      <c r="Z1229" s="19">
        <f>+D1229-Y1229</f>
        <v>0</v>
      </c>
      <c r="AA1229" s="19">
        <f>[1]TOBEPAID!AA948/1000</f>
        <v>1523.9739999999999</v>
      </c>
      <c r="AB1229" s="19">
        <f>[1]TOBEPAID!AB948/1000</f>
        <v>0</v>
      </c>
      <c r="AC1229" s="19"/>
      <c r="AD1229" s="19"/>
      <c r="AF1229" s="34"/>
      <c r="AG1229" s="34"/>
      <c r="AH1229" s="34"/>
      <c r="AI1229" s="34"/>
      <c r="AJ1229" s="34"/>
      <c r="AK1229" s="34"/>
      <c r="AL1229" s="34"/>
      <c r="AM1229" s="34"/>
      <c r="AN1229" s="34"/>
      <c r="AO1229" s="34"/>
      <c r="AP1229" s="34"/>
      <c r="AQ1229" s="34"/>
      <c r="AR1229" s="34"/>
      <c r="AS1229" s="34"/>
    </row>
    <row r="1230" spans="1:45" x14ac:dyDescent="0.2">
      <c r="A1230" s="18"/>
      <c r="C1230" s="3" t="s">
        <v>271</v>
      </c>
      <c r="D1230" s="19">
        <f>11648539/1000</f>
        <v>11648.539000000001</v>
      </c>
      <c r="E1230" s="19"/>
      <c r="F1230" s="19"/>
      <c r="G1230" s="19"/>
      <c r="H1230" s="19">
        <f>11648539/1000</f>
        <v>11648.539000000001</v>
      </c>
      <c r="I1230" s="19"/>
      <c r="J1230" s="19"/>
      <c r="K1230" s="19"/>
      <c r="L1230" s="19"/>
      <c r="M1230" s="19"/>
      <c r="N1230" s="19"/>
      <c r="O1230" s="19"/>
      <c r="P1230" s="19"/>
      <c r="Q1230" s="19"/>
      <c r="R1230" s="19">
        <v>0</v>
      </c>
      <c r="S1230" s="19"/>
      <c r="T1230" s="19"/>
      <c r="U1230" s="19"/>
      <c r="V1230" s="19"/>
      <c r="W1230" s="19"/>
      <c r="X1230" s="19"/>
      <c r="Y1230" s="19">
        <f t="shared" si="227"/>
        <v>11648.539000000001</v>
      </c>
      <c r="Z1230" s="19">
        <f>+D1230-Y1230</f>
        <v>0</v>
      </c>
      <c r="AA1230" s="19"/>
      <c r="AB1230" s="19"/>
      <c r="AC1230" s="19"/>
      <c r="AD1230" s="19"/>
      <c r="AF1230" s="34"/>
      <c r="AG1230" s="34"/>
      <c r="AH1230" s="34"/>
      <c r="AI1230" s="34"/>
      <c r="AJ1230" s="34"/>
      <c r="AK1230" s="34"/>
      <c r="AL1230" s="34"/>
      <c r="AM1230" s="34"/>
      <c r="AN1230" s="34"/>
      <c r="AO1230" s="34"/>
      <c r="AP1230" s="34"/>
      <c r="AQ1230" s="34"/>
      <c r="AR1230" s="34"/>
      <c r="AS1230" s="34"/>
    </row>
    <row r="1231" spans="1:45" x14ac:dyDescent="0.2">
      <c r="A1231" s="18"/>
      <c r="C1231" s="3" t="s">
        <v>181</v>
      </c>
      <c r="D1231" s="19">
        <f>119739000/1000</f>
        <v>119739</v>
      </c>
      <c r="E1231" s="19"/>
      <c r="F1231" s="19"/>
      <c r="G1231" s="19"/>
      <c r="H1231" s="19">
        <f>(51313296.92+17876777.29)/1000</f>
        <v>69190.074210000006</v>
      </c>
      <c r="I1231" s="19"/>
      <c r="J1231" s="19"/>
      <c r="K1231" s="19"/>
      <c r="L1231" s="19"/>
      <c r="M1231" s="19"/>
      <c r="N1231" s="19"/>
      <c r="O1231" s="19"/>
      <c r="P1231" s="19"/>
      <c r="Q1231" s="19"/>
      <c r="R1231" s="19">
        <v>0</v>
      </c>
      <c r="S1231" s="19"/>
      <c r="T1231" s="19"/>
      <c r="U1231" s="19"/>
      <c r="V1231" s="19"/>
      <c r="W1231" s="19"/>
      <c r="X1231" s="19"/>
      <c r="Y1231" s="19">
        <f>+H1231+R1231</f>
        <v>69190.074210000006</v>
      </c>
      <c r="Z1231" s="19">
        <f>+D1231-Y1231:Y1231</f>
        <v>50548.925789999994</v>
      </c>
      <c r="AA1231" s="19"/>
      <c r="AB1231" s="19"/>
      <c r="AC1231" s="19"/>
      <c r="AD1231" s="19"/>
      <c r="AF1231" s="34"/>
      <c r="AG1231" s="34"/>
      <c r="AH1231" s="34"/>
      <c r="AI1231" s="34"/>
      <c r="AJ1231" s="34"/>
      <c r="AK1231" s="34"/>
      <c r="AL1231" s="34"/>
      <c r="AM1231" s="34"/>
      <c r="AN1231" s="34"/>
      <c r="AO1231" s="34"/>
      <c r="AP1231" s="34"/>
      <c r="AQ1231" s="34"/>
      <c r="AR1231" s="34"/>
      <c r="AS1231" s="34"/>
    </row>
    <row r="1232" spans="1:45" x14ac:dyDescent="0.2">
      <c r="A1232" s="18"/>
      <c r="C1232" s="3" t="s">
        <v>64</v>
      </c>
      <c r="D1232" s="19">
        <f>10711800/1000</f>
        <v>10711.8</v>
      </c>
      <c r="E1232" s="19"/>
      <c r="F1232" s="19"/>
      <c r="G1232" s="19"/>
      <c r="H1232" s="19">
        <f>10711800/1000</f>
        <v>10711.8</v>
      </c>
      <c r="I1232" s="19"/>
      <c r="J1232" s="19"/>
      <c r="K1232" s="19"/>
      <c r="L1232" s="19"/>
      <c r="M1232" s="19"/>
      <c r="N1232" s="19"/>
      <c r="O1232" s="19"/>
      <c r="P1232" s="19"/>
      <c r="Q1232" s="19"/>
      <c r="R1232" s="19">
        <v>0</v>
      </c>
      <c r="S1232" s="19"/>
      <c r="T1232" s="19"/>
      <c r="U1232" s="19"/>
      <c r="V1232" s="19"/>
      <c r="W1232" s="19"/>
      <c r="X1232" s="19"/>
      <c r="Y1232" s="19">
        <f>+H1232+R1232</f>
        <v>10711.8</v>
      </c>
      <c r="Z1232" s="19">
        <f>+D1232-Y1232</f>
        <v>0</v>
      </c>
      <c r="AA1232" s="19"/>
      <c r="AB1232" s="19"/>
      <c r="AC1232" s="19"/>
      <c r="AD1232" s="19"/>
      <c r="AF1232" s="34"/>
      <c r="AG1232" s="34"/>
      <c r="AH1232" s="34"/>
      <c r="AI1232" s="34"/>
      <c r="AJ1232" s="34"/>
      <c r="AK1232" s="34"/>
      <c r="AL1232" s="34"/>
      <c r="AM1232" s="34"/>
      <c r="AN1232" s="34"/>
      <c r="AO1232" s="34"/>
      <c r="AP1232" s="34"/>
      <c r="AQ1232" s="34"/>
      <c r="AR1232" s="34"/>
      <c r="AS1232" s="34"/>
    </row>
    <row r="1233" spans="1:45" x14ac:dyDescent="0.2">
      <c r="A1233" s="18"/>
      <c r="C1233" s="3" t="s">
        <v>87</v>
      </c>
      <c r="D1233" s="19">
        <v>0</v>
      </c>
      <c r="E1233" s="19">
        <f>[1]TOBEPAID!E949/1000</f>
        <v>0</v>
      </c>
      <c r="F1233" s="19">
        <f>[1]TOBEPAID!F949/1000</f>
        <v>0</v>
      </c>
      <c r="G1233" s="19">
        <f>[1]TOBEPAID!G949/1000</f>
        <v>0</v>
      </c>
      <c r="H1233" s="19">
        <v>0</v>
      </c>
      <c r="I1233" s="19">
        <f>[1]TOBEPAID!I949/1000</f>
        <v>0</v>
      </c>
      <c r="J1233" s="19">
        <f>[1]TOBEPAID!J949/1000</f>
        <v>0</v>
      </c>
      <c r="K1233" s="19">
        <f>[1]TOBEPAID!K949/1000</f>
        <v>0</v>
      </c>
      <c r="L1233" s="19">
        <f>[1]TOBEPAID!L949/1000</f>
        <v>0</v>
      </c>
      <c r="M1233" s="19">
        <f>[1]TOBEPAID!M949/1000</f>
        <v>0</v>
      </c>
      <c r="N1233" s="19">
        <f>[1]TOBEPAID!N949/1000</f>
        <v>0</v>
      </c>
      <c r="O1233" s="19">
        <f>[1]TOBEPAID!O949/1000</f>
        <v>0</v>
      </c>
      <c r="P1233" s="19">
        <f>[1]TOBEPAID!P949/1000</f>
        <v>0</v>
      </c>
      <c r="Q1233" s="19">
        <f>[1]TOBEPAID!Q949/1000</f>
        <v>0</v>
      </c>
      <c r="R1233" s="19">
        <v>0</v>
      </c>
      <c r="S1233" s="19">
        <f>[1]TOBEPAID!S949/1000</f>
        <v>0</v>
      </c>
      <c r="T1233" s="19">
        <f>[1]TOBEPAID!T949/1000</f>
        <v>0</v>
      </c>
      <c r="U1233" s="19">
        <f>[1]TOBEPAID!U949/1000</f>
        <v>0</v>
      </c>
      <c r="V1233" s="19">
        <f>[1]TOBEPAID!V949/1000</f>
        <v>0</v>
      </c>
      <c r="W1233" s="19">
        <f>[1]TOBEPAID!W949/1000</f>
        <v>0</v>
      </c>
      <c r="X1233" s="19">
        <f>[1]TOBEPAID!X949/1000</f>
        <v>0</v>
      </c>
      <c r="Y1233" s="19">
        <f t="shared" si="227"/>
        <v>0</v>
      </c>
      <c r="Z1233" s="19">
        <f>+D1233-Y1233</f>
        <v>0</v>
      </c>
      <c r="AA1233" s="19">
        <f>[1]TOBEPAID!AA949/1000</f>
        <v>0</v>
      </c>
      <c r="AB1233" s="19">
        <f>[1]TOBEPAID!AB949/1000</f>
        <v>13463.93821</v>
      </c>
      <c r="AC1233" s="19"/>
      <c r="AD1233" s="19"/>
      <c r="AF1233" s="34"/>
      <c r="AG1233" s="34"/>
      <c r="AH1233" s="34"/>
      <c r="AI1233" s="34"/>
      <c r="AJ1233" s="34"/>
      <c r="AK1233" s="34"/>
      <c r="AL1233" s="34"/>
      <c r="AM1233" s="34"/>
      <c r="AN1233" s="34"/>
      <c r="AO1233" s="34"/>
      <c r="AP1233" s="34"/>
      <c r="AQ1233" s="34"/>
      <c r="AR1233" s="34"/>
      <c r="AS1233" s="34"/>
    </row>
    <row r="1234" spans="1:45" x14ac:dyDescent="0.2">
      <c r="A1234" s="18"/>
      <c r="C1234" s="3" t="s">
        <v>55</v>
      </c>
      <c r="D1234" s="19">
        <v>0</v>
      </c>
      <c r="E1234" s="19">
        <f>[1]TOBEPAID!E950/1000</f>
        <v>0</v>
      </c>
      <c r="F1234" s="19">
        <f>[1]TOBEPAID!F950/1000</f>
        <v>0</v>
      </c>
      <c r="G1234" s="19">
        <f>[1]TOBEPAID!G950/1000</f>
        <v>0</v>
      </c>
      <c r="H1234" s="19">
        <v>0</v>
      </c>
      <c r="I1234" s="19">
        <f>[1]TOBEPAID!I950/1000</f>
        <v>0</v>
      </c>
      <c r="J1234" s="19">
        <f>[1]TOBEPAID!J950/1000</f>
        <v>0</v>
      </c>
      <c r="K1234" s="19">
        <f>[1]TOBEPAID!K950/1000</f>
        <v>0</v>
      </c>
      <c r="L1234" s="19">
        <f>[1]TOBEPAID!L950/1000</f>
        <v>0</v>
      </c>
      <c r="M1234" s="19">
        <f>[1]TOBEPAID!M950/1000</f>
        <v>0</v>
      </c>
      <c r="N1234" s="19">
        <f>[1]TOBEPAID!N950/1000</f>
        <v>0</v>
      </c>
      <c r="O1234" s="19">
        <f>[1]TOBEPAID!O950/1000</f>
        <v>0</v>
      </c>
      <c r="P1234" s="19">
        <f>[1]TOBEPAID!P950/1000</f>
        <v>0</v>
      </c>
      <c r="Q1234" s="19">
        <f>[1]TOBEPAID!Q950/1000</f>
        <v>0</v>
      </c>
      <c r="R1234" s="19">
        <v>0</v>
      </c>
      <c r="S1234" s="19">
        <f>[1]TOBEPAID!S950/1000</f>
        <v>0</v>
      </c>
      <c r="T1234" s="19">
        <f>[1]TOBEPAID!T950/1000</f>
        <v>0</v>
      </c>
      <c r="U1234" s="19">
        <f>[1]TOBEPAID!U950/1000</f>
        <v>0</v>
      </c>
      <c r="V1234" s="19">
        <f>[1]TOBEPAID!V950/1000</f>
        <v>0</v>
      </c>
      <c r="W1234" s="19">
        <f>[1]TOBEPAID!W950/1000</f>
        <v>0</v>
      </c>
      <c r="X1234" s="19">
        <f>[1]TOBEPAID!X950/1000</f>
        <v>0</v>
      </c>
      <c r="Y1234" s="19">
        <f t="shared" si="227"/>
        <v>0</v>
      </c>
      <c r="Z1234" s="19">
        <f>+D1234-Y1234</f>
        <v>0</v>
      </c>
      <c r="AA1234" s="19">
        <f>[1]TOBEPAID!AA950/1000</f>
        <v>0</v>
      </c>
      <c r="AB1234" s="19">
        <f>[1]TOBEPAID!AB950/1000</f>
        <v>16202.5</v>
      </c>
      <c r="AC1234" s="19"/>
      <c r="AD1234" s="19"/>
      <c r="AF1234" s="34"/>
      <c r="AG1234" s="34"/>
      <c r="AH1234" s="34"/>
      <c r="AI1234" s="34"/>
      <c r="AJ1234" s="34"/>
      <c r="AK1234" s="34"/>
      <c r="AL1234" s="34"/>
      <c r="AM1234" s="34"/>
      <c r="AN1234" s="34"/>
      <c r="AO1234" s="34"/>
      <c r="AP1234" s="34"/>
      <c r="AQ1234" s="34"/>
      <c r="AR1234" s="34"/>
      <c r="AS1234" s="34"/>
    </row>
    <row r="1235" spans="1:45" x14ac:dyDescent="0.2">
      <c r="A1235" s="18"/>
      <c r="C1235" s="3" t="s">
        <v>88</v>
      </c>
      <c r="D1235" s="19">
        <v>0</v>
      </c>
      <c r="E1235" s="19">
        <f>[1]TOBEPAID!E951/1000</f>
        <v>0</v>
      </c>
      <c r="F1235" s="19">
        <f>[1]TOBEPAID!F951/1000</f>
        <v>0</v>
      </c>
      <c r="G1235" s="19">
        <f>[1]TOBEPAID!G951/1000</f>
        <v>0</v>
      </c>
      <c r="H1235" s="19">
        <v>0</v>
      </c>
      <c r="I1235" s="19">
        <f>[1]TOBEPAID!I951/1000</f>
        <v>0</v>
      </c>
      <c r="J1235" s="19">
        <f>[1]TOBEPAID!J951/1000</f>
        <v>0</v>
      </c>
      <c r="K1235" s="19">
        <f>[1]TOBEPAID!K951/1000</f>
        <v>0</v>
      </c>
      <c r="L1235" s="19">
        <f>[1]TOBEPAID!L951/1000</f>
        <v>0</v>
      </c>
      <c r="M1235" s="19">
        <f>[1]TOBEPAID!M951/1000</f>
        <v>0</v>
      </c>
      <c r="N1235" s="19">
        <f>[1]TOBEPAID!N951/1000</f>
        <v>0</v>
      </c>
      <c r="O1235" s="19">
        <f>[1]TOBEPAID!O951/1000</f>
        <v>0</v>
      </c>
      <c r="P1235" s="19">
        <f>[1]TOBEPAID!P951/1000</f>
        <v>0</v>
      </c>
      <c r="Q1235" s="19">
        <f>[1]TOBEPAID!Q951/1000</f>
        <v>0</v>
      </c>
      <c r="R1235" s="19">
        <v>0</v>
      </c>
      <c r="S1235" s="19">
        <f>[1]TOBEPAID!S951/1000</f>
        <v>0</v>
      </c>
      <c r="T1235" s="19">
        <f>[1]TOBEPAID!T951/1000</f>
        <v>0</v>
      </c>
      <c r="U1235" s="19">
        <f>[1]TOBEPAID!U951/1000</f>
        <v>0</v>
      </c>
      <c r="V1235" s="19">
        <f>[1]TOBEPAID!V951/1000</f>
        <v>0</v>
      </c>
      <c r="W1235" s="19">
        <f>[1]TOBEPAID!W951/1000</f>
        <v>0</v>
      </c>
      <c r="X1235" s="19">
        <f>[1]TOBEPAID!X951/1000</f>
        <v>0</v>
      </c>
      <c r="Y1235" s="19">
        <f t="shared" si="227"/>
        <v>0</v>
      </c>
      <c r="Z1235" s="19">
        <f>+D1235-Y1235</f>
        <v>0</v>
      </c>
      <c r="AA1235" s="19">
        <f>[1]TOBEPAID!AA951/1000</f>
        <v>0</v>
      </c>
      <c r="AB1235" s="19">
        <f>[1]TOBEPAID!AB951/1000</f>
        <v>1775.60258</v>
      </c>
      <c r="AC1235" s="19"/>
      <c r="AD1235" s="19"/>
      <c r="AF1235" s="34"/>
      <c r="AG1235" s="34"/>
      <c r="AH1235" s="34"/>
      <c r="AI1235" s="34"/>
      <c r="AJ1235" s="34"/>
      <c r="AK1235" s="34"/>
      <c r="AL1235" s="34"/>
      <c r="AM1235" s="34"/>
      <c r="AN1235" s="34"/>
      <c r="AO1235" s="34"/>
      <c r="AP1235" s="34"/>
      <c r="AQ1235" s="34"/>
      <c r="AR1235" s="34"/>
      <c r="AS1235" s="34"/>
    </row>
    <row r="1236" spans="1:45" x14ac:dyDescent="0.2">
      <c r="A1236" s="18"/>
      <c r="D1236" s="21" t="s">
        <v>57</v>
      </c>
      <c r="E1236" s="21" t="s">
        <v>57</v>
      </c>
      <c r="F1236" s="21" t="s">
        <v>57</v>
      </c>
      <c r="G1236" s="21"/>
      <c r="H1236" s="21" t="s">
        <v>57</v>
      </c>
      <c r="I1236" s="21" t="s">
        <v>57</v>
      </c>
      <c r="J1236" s="21" t="s">
        <v>57</v>
      </c>
      <c r="K1236" s="21" t="s">
        <v>57</v>
      </c>
      <c r="L1236" s="21" t="s">
        <v>57</v>
      </c>
      <c r="M1236" s="21"/>
      <c r="N1236" s="21" t="s">
        <v>57</v>
      </c>
      <c r="O1236" s="21" t="s">
        <v>57</v>
      </c>
      <c r="P1236" s="21" t="s">
        <v>57</v>
      </c>
      <c r="Q1236" s="21"/>
      <c r="R1236" s="21" t="s">
        <v>57</v>
      </c>
      <c r="S1236" s="21" t="s">
        <v>57</v>
      </c>
      <c r="T1236" s="21" t="s">
        <v>57</v>
      </c>
      <c r="U1236" s="21" t="s">
        <v>57</v>
      </c>
      <c r="V1236" s="21" t="s">
        <v>57</v>
      </c>
      <c r="W1236" s="21"/>
      <c r="X1236" s="21" t="s">
        <v>57</v>
      </c>
      <c r="Y1236" s="21" t="s">
        <v>57</v>
      </c>
      <c r="Z1236" s="21" t="s">
        <v>57</v>
      </c>
      <c r="AA1236" s="21" t="s">
        <v>57</v>
      </c>
      <c r="AB1236" s="21" t="s">
        <v>57</v>
      </c>
      <c r="AC1236" s="21"/>
      <c r="AD1236" s="21"/>
      <c r="AF1236" s="34"/>
      <c r="AG1236" s="34"/>
      <c r="AH1236" s="34"/>
      <c r="AI1236" s="34"/>
      <c r="AJ1236" s="34"/>
      <c r="AK1236" s="34"/>
      <c r="AL1236" s="34"/>
      <c r="AM1236" s="34"/>
      <c r="AN1236" s="34"/>
      <c r="AO1236" s="34"/>
      <c r="AP1236" s="34"/>
      <c r="AQ1236" s="34"/>
      <c r="AR1236" s="34"/>
      <c r="AS1236" s="34"/>
    </row>
    <row r="1237" spans="1:45" x14ac:dyDescent="0.2">
      <c r="A1237" s="18"/>
      <c r="D1237" s="30">
        <f>SUM(D1228:D1235)</f>
        <v>203219.13</v>
      </c>
      <c r="E1237" s="30">
        <f>SUM(E1228:E1235)</f>
        <v>8153.8296200000004</v>
      </c>
      <c r="F1237" s="30">
        <f>SUM(F1228:F1235)</f>
        <v>0</v>
      </c>
      <c r="G1237" s="30"/>
      <c r="H1237" s="30">
        <f>SUM(H1228:H1235)</f>
        <v>152662.52283</v>
      </c>
      <c r="I1237" s="30">
        <f>SUM(I1228:I1235)</f>
        <v>0</v>
      </c>
      <c r="J1237" s="30">
        <f>SUM(J1228:J1235)</f>
        <v>0</v>
      </c>
      <c r="K1237" s="30">
        <f>SUM(K1228:K1235)</f>
        <v>0</v>
      </c>
      <c r="L1237" s="30">
        <f>SUM(L1228:L1235)</f>
        <v>0</v>
      </c>
      <c r="M1237" s="30"/>
      <c r="N1237" s="30">
        <f>SUM(N1228:N1235)</f>
        <v>8153.8296200000004</v>
      </c>
      <c r="O1237" s="30">
        <f>SUM(O1228:O1235)</f>
        <v>0</v>
      </c>
      <c r="P1237" s="30">
        <f>SUM(P1228:P1235)</f>
        <v>0</v>
      </c>
      <c r="Q1237" s="30"/>
      <c r="R1237" s="30">
        <f>SUM(R1228:R1235)</f>
        <v>0</v>
      </c>
      <c r="S1237" s="30">
        <f>SUM(S1228:S1235)</f>
        <v>0</v>
      </c>
      <c r="T1237" s="30">
        <f>SUM(T1228:T1235)</f>
        <v>0</v>
      </c>
      <c r="U1237" s="30">
        <f>SUM(U1228:U1235)</f>
        <v>0</v>
      </c>
      <c r="V1237" s="30">
        <f>SUM(V1228:V1235)</f>
        <v>0</v>
      </c>
      <c r="W1237" s="30"/>
      <c r="X1237" s="30">
        <f>SUM(X1228:X1235)</f>
        <v>0</v>
      </c>
      <c r="Y1237" s="30">
        <f>SUM(Y1228:Y1235)</f>
        <v>152662.52283</v>
      </c>
      <c r="Z1237" s="30">
        <f>SUM(Z1228:Z1235)</f>
        <v>50556.607169999996</v>
      </c>
      <c r="AA1237" s="30">
        <f>SUM(AA1228:AA1235)</f>
        <v>8153.8296200000004</v>
      </c>
      <c r="AB1237" s="30">
        <f>SUM(AB1228:AB1235)</f>
        <v>52965.961709999996</v>
      </c>
      <c r="AC1237" s="30"/>
      <c r="AD1237" s="30"/>
      <c r="AH1237" s="34"/>
      <c r="AI1237" s="34"/>
      <c r="AJ1237" s="34"/>
      <c r="AK1237" s="34"/>
      <c r="AL1237" s="34"/>
      <c r="AM1237" s="34"/>
      <c r="AN1237" s="34"/>
      <c r="AO1237" s="34"/>
      <c r="AP1237" s="34"/>
      <c r="AQ1237" s="34"/>
      <c r="AR1237" s="34"/>
      <c r="AS1237" s="34"/>
    </row>
    <row r="1238" spans="1:45" x14ac:dyDescent="0.2">
      <c r="A1238" s="18"/>
      <c r="B1238" s="3" t="s">
        <v>344</v>
      </c>
      <c r="D1238" s="21" t="s">
        <v>57</v>
      </c>
      <c r="E1238" s="21" t="s">
        <v>57</v>
      </c>
      <c r="F1238" s="21" t="s">
        <v>57</v>
      </c>
      <c r="G1238" s="21"/>
      <c r="H1238" s="21" t="s">
        <v>57</v>
      </c>
      <c r="I1238" s="21" t="s">
        <v>57</v>
      </c>
      <c r="J1238" s="21" t="s">
        <v>57</v>
      </c>
      <c r="K1238" s="21" t="s">
        <v>57</v>
      </c>
      <c r="L1238" s="21" t="s">
        <v>57</v>
      </c>
      <c r="M1238" s="21"/>
      <c r="N1238" s="21" t="s">
        <v>57</v>
      </c>
      <c r="O1238" s="21" t="s">
        <v>57</v>
      </c>
      <c r="P1238" s="21" t="s">
        <v>57</v>
      </c>
      <c r="Q1238" s="21"/>
      <c r="R1238" s="21" t="s">
        <v>57</v>
      </c>
      <c r="S1238" s="21" t="s">
        <v>57</v>
      </c>
      <c r="T1238" s="21" t="s">
        <v>57</v>
      </c>
      <c r="U1238" s="21" t="s">
        <v>57</v>
      </c>
      <c r="V1238" s="21" t="s">
        <v>57</v>
      </c>
      <c r="W1238" s="21"/>
      <c r="X1238" s="21" t="s">
        <v>57</v>
      </c>
      <c r="Y1238" s="21" t="s">
        <v>57</v>
      </c>
      <c r="Z1238" s="21" t="s">
        <v>57</v>
      </c>
      <c r="AA1238" s="21" t="s">
        <v>57</v>
      </c>
      <c r="AB1238" s="21" t="s">
        <v>57</v>
      </c>
      <c r="AC1238" s="21"/>
      <c r="AD1238" s="21"/>
      <c r="AF1238" s="34"/>
      <c r="AG1238" s="34"/>
      <c r="AH1238" s="34"/>
      <c r="AI1238" s="34"/>
      <c r="AJ1238" s="34"/>
      <c r="AK1238" s="34"/>
      <c r="AL1238" s="34"/>
      <c r="AM1238" s="34"/>
      <c r="AN1238" s="34"/>
      <c r="AO1238" s="34"/>
      <c r="AP1238" s="34"/>
      <c r="AQ1238" s="34"/>
      <c r="AR1238" s="34"/>
      <c r="AS1238" s="34">
        <f t="shared" ref="AS1238:AS1248" si="228">+AF1239-AK1239-AP1239</f>
        <v>293532.277</v>
      </c>
    </row>
    <row r="1239" spans="1:45" ht="15.75" thickBot="1" x14ac:dyDescent="0.25">
      <c r="A1239" s="18"/>
      <c r="B1239" s="22" t="s">
        <v>58</v>
      </c>
      <c r="D1239" s="23">
        <f>[1]TOBEPAID!D955/1000</f>
        <v>254.83224999999999</v>
      </c>
      <c r="E1239" s="19">
        <f>[1]TOBEPAID!E955/1000</f>
        <v>0</v>
      </c>
      <c r="F1239" s="19">
        <f>[1]TOBEPAID!F955/1000</f>
        <v>0</v>
      </c>
      <c r="G1239" s="19">
        <f>[1]TOBEPAID!G955/1000</f>
        <v>0</v>
      </c>
      <c r="H1239" s="19"/>
      <c r="I1239" s="19">
        <f>[1]TOBEPAID!I955/1000</f>
        <v>0</v>
      </c>
      <c r="J1239" s="19">
        <f>[1]TOBEPAID!J955/1000</f>
        <v>0</v>
      </c>
      <c r="K1239" s="19">
        <f>[1]TOBEPAID!K955/1000</f>
        <v>0</v>
      </c>
      <c r="L1239" s="19">
        <f>[1]TOBEPAID!L955/1000</f>
        <v>0</v>
      </c>
      <c r="M1239" s="19">
        <f>[1]TOBEPAID!M955/1000</f>
        <v>0</v>
      </c>
      <c r="N1239" s="19">
        <f>[1]TOBEPAID!N955/1000</f>
        <v>0</v>
      </c>
      <c r="O1239" s="19">
        <f>[1]TOBEPAID!O955/1000</f>
        <v>254.83224999999999</v>
      </c>
      <c r="P1239" s="19">
        <f>[1]TOBEPAID!P955/1000</f>
        <v>0</v>
      </c>
      <c r="Q1239" s="19">
        <f>[1]TOBEPAID!Q955/1000</f>
        <v>0</v>
      </c>
      <c r="R1239" s="23">
        <f>[1]TOBEPAID!R955/1000</f>
        <v>254.83224999999999</v>
      </c>
      <c r="S1239" s="19">
        <f>[1]TOBEPAID!S955/1000</f>
        <v>0</v>
      </c>
      <c r="T1239" s="19">
        <f>[1]TOBEPAID!T955/1000</f>
        <v>0</v>
      </c>
      <c r="U1239" s="19">
        <f>[1]TOBEPAID!U955/1000</f>
        <v>0</v>
      </c>
      <c r="V1239" s="19">
        <f>[1]TOBEPAID!V955/1000</f>
        <v>0</v>
      </c>
      <c r="W1239" s="19">
        <f>[1]TOBEPAID!W955/1000</f>
        <v>0</v>
      </c>
      <c r="X1239" s="19">
        <f>[1]TOBEPAID!X955/1000</f>
        <v>0</v>
      </c>
      <c r="Y1239" s="23">
        <f>[1]TOBEPAID!Y955/1000</f>
        <v>254.83224999999999</v>
      </c>
      <c r="Z1239" s="23">
        <f>[1]TOBEPAID!Z955/1000</f>
        <v>0</v>
      </c>
      <c r="AA1239" s="19">
        <f>[1]TOBEPAID!AA955/1000</f>
        <v>0</v>
      </c>
      <c r="AB1239" s="19">
        <f>[1]TOBEPAID!AB955/1000</f>
        <v>0</v>
      </c>
      <c r="AC1239" s="19"/>
      <c r="AD1239" s="19"/>
      <c r="AE1239" s="25"/>
      <c r="AF1239" s="34">
        <f>+D1213+D1263</f>
        <v>303532.277</v>
      </c>
      <c r="AG1239" s="34">
        <f>+E1213+E1263</f>
        <v>10000</v>
      </c>
      <c r="AH1239" s="34">
        <f>+F1213+F1263</f>
        <v>0</v>
      </c>
      <c r="AI1239" s="34">
        <f>+AG1239+AH1239</f>
        <v>10000</v>
      </c>
      <c r="AJ1239" s="34">
        <f>+L1213+L1263</f>
        <v>0</v>
      </c>
      <c r="AK1239" s="34">
        <f>+AI1239+AJ1239</f>
        <v>10000</v>
      </c>
      <c r="AL1239" s="34">
        <f>+O1213+O1263</f>
        <v>0</v>
      </c>
      <c r="AM1239" s="34">
        <f>+P1213+P1263</f>
        <v>0</v>
      </c>
      <c r="AN1239" s="34">
        <f>+AL1239+AM1239</f>
        <v>0</v>
      </c>
      <c r="AO1239" s="34">
        <f>+V1213+V1263</f>
        <v>0</v>
      </c>
      <c r="AP1239" s="34">
        <f>+AN1239+AO1239</f>
        <v>0</v>
      </c>
      <c r="AQ1239" s="34">
        <f>+AI1239+AN1239</f>
        <v>10000</v>
      </c>
      <c r="AR1239" s="34">
        <f>+AF1239-AQ1239</f>
        <v>293532.277</v>
      </c>
      <c r="AS1239" s="34">
        <f t="shared" si="228"/>
        <v>225111.39955999999</v>
      </c>
    </row>
    <row r="1240" spans="1:45" ht="15.75" thickTop="1" x14ac:dyDescent="0.2">
      <c r="D1240" s="19"/>
      <c r="E1240" s="19"/>
      <c r="F1240" s="19"/>
      <c r="G1240" s="19"/>
      <c r="H1240" s="19"/>
      <c r="I1240" s="19"/>
      <c r="J1240" s="19"/>
      <c r="K1240" s="19"/>
      <c r="L1240" s="19"/>
      <c r="M1240" s="19"/>
      <c r="N1240" s="19"/>
      <c r="O1240" s="19"/>
      <c r="P1240" s="19"/>
      <c r="Q1240" s="19"/>
      <c r="R1240" s="19"/>
      <c r="S1240" s="19"/>
      <c r="T1240" s="19"/>
      <c r="U1240" s="19"/>
      <c r="V1240" s="19"/>
      <c r="W1240" s="19"/>
      <c r="X1240" s="19"/>
      <c r="Y1240" s="19"/>
      <c r="Z1240" s="19"/>
      <c r="AA1240" s="19">
        <f>[1]TOBEPAID!AA956/1000</f>
        <v>0</v>
      </c>
      <c r="AB1240" s="19">
        <f>[1]TOBEPAID!AB956/1000</f>
        <v>0</v>
      </c>
      <c r="AC1240" s="19"/>
      <c r="AD1240" s="19"/>
      <c r="AE1240" s="25" t="s">
        <v>86</v>
      </c>
      <c r="AF1240" s="34">
        <f>D1166+D1177+D1189+D1203+D1210+D1228+D1241+D1260</f>
        <v>233530.62191999998</v>
      </c>
      <c r="AG1240" s="34">
        <f>E1166+E1177+E1189+E1203+E1210+E1228+E1241+E1260</f>
        <v>6629.8556200000003</v>
      </c>
      <c r="AH1240" s="34">
        <f>F1166+F1177+F1189+F1203+F1210+F1228+F1241+F1260</f>
        <v>0</v>
      </c>
      <c r="AI1240" s="34">
        <f>+AG1240+AH1240</f>
        <v>6629.8556200000003</v>
      </c>
      <c r="AJ1240" s="34">
        <f>L1166+L1177+L1189+L1203+L1210+L1228+L1241+L1260</f>
        <v>0</v>
      </c>
      <c r="AK1240" s="34">
        <f>+AI1240+AJ1240</f>
        <v>6629.8556200000003</v>
      </c>
      <c r="AL1240" s="34">
        <f>O1166+O1177+O1189+O1203+O1210+O1228+O1241+O1260</f>
        <v>1789.3667399999999</v>
      </c>
      <c r="AM1240" s="34">
        <f>P1166+P1177+P1189+P1203+P1210+P1228+P1241+P1260</f>
        <v>0</v>
      </c>
      <c r="AN1240" s="34">
        <f>+AL1240+AM1240</f>
        <v>1789.3667399999999</v>
      </c>
      <c r="AO1240" s="34">
        <f>V1166+V1177+V1189+V1203+V1210+V1228+V1241+V1260</f>
        <v>0</v>
      </c>
      <c r="AP1240" s="34">
        <f>+AN1240+AO1240</f>
        <v>1789.3667399999999</v>
      </c>
      <c r="AQ1240" s="34">
        <f>+AI1240+AN1240</f>
        <v>8419.2223599999998</v>
      </c>
      <c r="AR1240" s="34">
        <f>+AF1240-AQ1240</f>
        <v>225111.39955999999</v>
      </c>
      <c r="AS1240" s="34">
        <f t="shared" si="228"/>
        <v>0</v>
      </c>
    </row>
    <row r="1241" spans="1:45" x14ac:dyDescent="0.2">
      <c r="A1241" s="18">
        <v>98</v>
      </c>
      <c r="B1241" s="3" t="s">
        <v>345</v>
      </c>
      <c r="C1241" s="17" t="s">
        <v>51</v>
      </c>
      <c r="D1241" s="19">
        <f>2651876/1000</f>
        <v>2651.8760000000002</v>
      </c>
      <c r="E1241" s="19">
        <f>[1]TOBEPAID!E957/1000</f>
        <v>0</v>
      </c>
      <c r="F1241" s="19">
        <f>[1]TOBEPAID!F957/1000</f>
        <v>0</v>
      </c>
      <c r="G1241" s="19">
        <f>[1]TOBEPAID!G957/1000</f>
        <v>0</v>
      </c>
      <c r="H1241" s="19">
        <f>2454430/1000</f>
        <v>2454.4299999999998</v>
      </c>
      <c r="I1241" s="19">
        <f>[1]TOBEPAID!I957/1000</f>
        <v>0</v>
      </c>
      <c r="J1241" s="19">
        <f>[1]TOBEPAID!J957/1000</f>
        <v>0</v>
      </c>
      <c r="K1241" s="19">
        <f>[1]TOBEPAID!K957/1000</f>
        <v>0</v>
      </c>
      <c r="L1241" s="19">
        <f>[1]TOBEPAID!L957/1000</f>
        <v>0</v>
      </c>
      <c r="M1241" s="19">
        <f>[1]TOBEPAID!M957/1000</f>
        <v>0</v>
      </c>
      <c r="N1241" s="19">
        <f>[1]TOBEPAID!N957/1000</f>
        <v>0</v>
      </c>
      <c r="O1241" s="19">
        <f>[1]TOBEPAID!O957/1000</f>
        <v>197.4452</v>
      </c>
      <c r="P1241" s="19">
        <f>[1]TOBEPAID!P957/1000</f>
        <v>0</v>
      </c>
      <c r="Q1241" s="19">
        <f>[1]TOBEPAID!Q957/1000</f>
        <v>0</v>
      </c>
      <c r="R1241" s="19">
        <f>537233/1000</f>
        <v>537.23299999999995</v>
      </c>
      <c r="S1241" s="19">
        <f>[1]TOBEPAID!S957/1000</f>
        <v>0</v>
      </c>
      <c r="T1241" s="19">
        <f>[1]TOBEPAID!T957/1000</f>
        <v>0</v>
      </c>
      <c r="U1241" s="19">
        <f>[1]TOBEPAID!U957/1000</f>
        <v>0</v>
      </c>
      <c r="V1241" s="19">
        <f>[1]TOBEPAID!V957/1000</f>
        <v>0</v>
      </c>
      <c r="W1241" s="19">
        <f>[1]TOBEPAID!W957/1000</f>
        <v>0</v>
      </c>
      <c r="X1241" s="19">
        <f>[1]TOBEPAID!X957/1000</f>
        <v>197.4452</v>
      </c>
      <c r="Y1241" s="19">
        <f t="shared" ref="Y1241:Y1246" si="229">+H1241+R1241</f>
        <v>2991.6629999999996</v>
      </c>
      <c r="Z1241" s="19">
        <f t="shared" ref="Z1241:Z1246" si="230">+D1241-Y1241</f>
        <v>-339.78699999999935</v>
      </c>
      <c r="AA1241" s="19">
        <f>[1]TOBEPAID!AA957/1000</f>
        <v>197.4452</v>
      </c>
      <c r="AB1241" s="19">
        <f>[1]TOBEPAID!AB957/1000</f>
        <v>2454.4308899999996</v>
      </c>
      <c r="AC1241" s="19" t="s">
        <v>116</v>
      </c>
      <c r="AD1241" s="19"/>
      <c r="AE1241" s="25" t="s">
        <v>85</v>
      </c>
      <c r="AF1241" s="34">
        <f>D1167+D1191+D1204+D1229+D1245+D1266</f>
        <v>5354.0159999999996</v>
      </c>
      <c r="AG1241" s="34">
        <f>E1167+E1191+E1204+E1229+E1245+E1266</f>
        <v>5354.0159999999996</v>
      </c>
      <c r="AH1241" s="34">
        <f>F1167+F1191+F1204+F1229+F1245+F1266</f>
        <v>0</v>
      </c>
      <c r="AI1241" s="34">
        <f t="shared" ref="AI1241:AI1249" si="231">+AG1241+AH1241</f>
        <v>5354.0159999999996</v>
      </c>
      <c r="AJ1241" s="34">
        <f>L1167+L1191+L1204+L1229+L1245+L1266</f>
        <v>0</v>
      </c>
      <c r="AK1241" s="34">
        <f t="shared" ref="AK1241:AK1249" si="232">+AI1241+AJ1241</f>
        <v>5354.0159999999996</v>
      </c>
      <c r="AL1241" s="34">
        <f>O1167+O1191+O1204+O1229+O1245+O1266</f>
        <v>0</v>
      </c>
      <c r="AM1241" s="34">
        <f>P1167+P1191+P1204+P1229+P1245+P1266</f>
        <v>0</v>
      </c>
      <c r="AN1241" s="34">
        <f t="shared" ref="AN1241:AN1249" si="233">+AL1241+AM1241</f>
        <v>0</v>
      </c>
      <c r="AO1241" s="34">
        <f>V1167+V1191+V1204+V1229+V1245+V1266</f>
        <v>0</v>
      </c>
      <c r="AP1241" s="34">
        <f t="shared" ref="AP1241:AP1249" si="234">+AN1241+AO1241</f>
        <v>0</v>
      </c>
      <c r="AQ1241" s="34">
        <f t="shared" ref="AQ1241:AQ1249" si="235">+AI1241+AN1241</f>
        <v>5354.0159999999996</v>
      </c>
      <c r="AR1241" s="34">
        <f t="shared" ref="AR1241:AR1249" si="236">+AF1241-AQ1241</f>
        <v>0</v>
      </c>
      <c r="AS1241" s="34">
        <f>+AF1245-AK1245-AP1245</f>
        <v>-259.74261999999908</v>
      </c>
    </row>
    <row r="1242" spans="1:45" x14ac:dyDescent="0.2">
      <c r="A1242" s="18"/>
      <c r="C1242" s="17" t="s">
        <v>181</v>
      </c>
      <c r="D1242" s="19">
        <f>54701000/1000</f>
        <v>54701</v>
      </c>
      <c r="E1242" s="19"/>
      <c r="F1242" s="19"/>
      <c r="G1242" s="19"/>
      <c r="H1242" s="19">
        <f>43599785.75/1000</f>
        <v>43599.785750000003</v>
      </c>
      <c r="I1242" s="19"/>
      <c r="J1242" s="19"/>
      <c r="K1242" s="19"/>
      <c r="L1242" s="19"/>
      <c r="M1242" s="19"/>
      <c r="N1242" s="19"/>
      <c r="O1242" s="19"/>
      <c r="P1242" s="19"/>
      <c r="Q1242" s="19"/>
      <c r="R1242" s="19">
        <v>0</v>
      </c>
      <c r="S1242" s="19"/>
      <c r="T1242" s="19"/>
      <c r="U1242" s="19"/>
      <c r="V1242" s="19"/>
      <c r="W1242" s="19"/>
      <c r="X1242" s="19"/>
      <c r="Y1242" s="19">
        <f t="shared" si="229"/>
        <v>43599.785750000003</v>
      </c>
      <c r="Z1242" s="19">
        <f t="shared" si="230"/>
        <v>11101.214249999997</v>
      </c>
      <c r="AA1242" s="19"/>
      <c r="AB1242" s="19"/>
      <c r="AC1242" s="19"/>
      <c r="AD1242" s="19"/>
      <c r="AE1242" s="25"/>
      <c r="AF1242" s="34"/>
      <c r="AG1242" s="34"/>
      <c r="AH1242" s="34"/>
      <c r="AI1242" s="34"/>
      <c r="AJ1242" s="34"/>
      <c r="AK1242" s="34"/>
      <c r="AL1242" s="34"/>
      <c r="AM1242" s="34"/>
      <c r="AN1242" s="34"/>
      <c r="AO1242" s="34"/>
      <c r="AP1242" s="34"/>
      <c r="AQ1242" s="34"/>
      <c r="AR1242" s="34"/>
      <c r="AS1242" s="34"/>
    </row>
    <row r="1243" spans="1:45" x14ac:dyDescent="0.2">
      <c r="A1243" s="18"/>
      <c r="C1243" s="17" t="s">
        <v>161</v>
      </c>
      <c r="D1243" s="19">
        <f>3200000/1000</f>
        <v>3200</v>
      </c>
      <c r="E1243" s="19"/>
      <c r="F1243" s="19"/>
      <c r="G1243" s="19"/>
      <c r="H1243" s="19">
        <f>3200000/1000</f>
        <v>3200</v>
      </c>
      <c r="I1243" s="19"/>
      <c r="J1243" s="19"/>
      <c r="K1243" s="19"/>
      <c r="L1243" s="19"/>
      <c r="M1243" s="19"/>
      <c r="N1243" s="19"/>
      <c r="O1243" s="19"/>
      <c r="P1243" s="19"/>
      <c r="Q1243" s="19"/>
      <c r="R1243" s="19">
        <v>0</v>
      </c>
      <c r="S1243" s="19"/>
      <c r="T1243" s="19"/>
      <c r="U1243" s="19"/>
      <c r="V1243" s="19"/>
      <c r="W1243" s="19"/>
      <c r="X1243" s="19"/>
      <c r="Y1243" s="19">
        <f t="shared" si="229"/>
        <v>3200</v>
      </c>
      <c r="Z1243" s="19">
        <f t="shared" si="230"/>
        <v>0</v>
      </c>
      <c r="AA1243" s="19"/>
      <c r="AB1243" s="19"/>
      <c r="AC1243" s="19"/>
      <c r="AD1243" s="19"/>
      <c r="AE1243" s="25"/>
      <c r="AF1243" s="34"/>
      <c r="AG1243" s="34"/>
      <c r="AH1243" s="34"/>
      <c r="AI1243" s="34"/>
      <c r="AJ1243" s="34"/>
      <c r="AK1243" s="34"/>
      <c r="AL1243" s="34"/>
      <c r="AM1243" s="34"/>
      <c r="AN1243" s="34"/>
      <c r="AO1243" s="34"/>
      <c r="AP1243" s="34"/>
      <c r="AQ1243" s="34"/>
      <c r="AR1243" s="34"/>
      <c r="AS1243" s="34"/>
    </row>
    <row r="1244" spans="1:45" x14ac:dyDescent="0.2">
      <c r="A1244" s="18"/>
      <c r="C1244" s="17" t="s">
        <v>64</v>
      </c>
      <c r="D1244" s="19">
        <f>12000000/1000</f>
        <v>12000</v>
      </c>
      <c r="E1244" s="19"/>
      <c r="F1244" s="19"/>
      <c r="G1244" s="19"/>
      <c r="H1244" s="19">
        <f>12000000/1000</f>
        <v>12000</v>
      </c>
      <c r="I1244" s="19"/>
      <c r="J1244" s="19"/>
      <c r="K1244" s="19"/>
      <c r="L1244" s="19"/>
      <c r="M1244" s="19"/>
      <c r="N1244" s="19"/>
      <c r="O1244" s="19"/>
      <c r="P1244" s="19"/>
      <c r="Q1244" s="19"/>
      <c r="R1244" s="19">
        <v>0</v>
      </c>
      <c r="S1244" s="19"/>
      <c r="T1244" s="19"/>
      <c r="U1244" s="19"/>
      <c r="V1244" s="19"/>
      <c r="W1244" s="19"/>
      <c r="X1244" s="19"/>
      <c r="Y1244" s="19">
        <f t="shared" si="229"/>
        <v>12000</v>
      </c>
      <c r="Z1244" s="19">
        <f t="shared" si="230"/>
        <v>0</v>
      </c>
      <c r="AA1244" s="19"/>
      <c r="AB1244" s="19"/>
      <c r="AC1244" s="19"/>
      <c r="AD1244" s="19"/>
      <c r="AE1244" s="25"/>
      <c r="AF1244" s="34"/>
      <c r="AG1244" s="34"/>
      <c r="AH1244" s="34"/>
      <c r="AI1244" s="34"/>
      <c r="AJ1244" s="34"/>
      <c r="AK1244" s="34"/>
      <c r="AL1244" s="34"/>
      <c r="AM1244" s="34"/>
      <c r="AN1244" s="34"/>
      <c r="AO1244" s="34"/>
      <c r="AP1244" s="34"/>
      <c r="AQ1244" s="34"/>
      <c r="AR1244" s="34"/>
      <c r="AS1244" s="34"/>
    </row>
    <row r="1245" spans="1:45" x14ac:dyDescent="0.2">
      <c r="A1245" s="18"/>
      <c r="C1245" s="3" t="s">
        <v>52</v>
      </c>
      <c r="D1245" s="19">
        <f>147111/1000</f>
        <v>147.11099999999999</v>
      </c>
      <c r="E1245" s="19">
        <f>[1]TOBEPAID!E958/1000</f>
        <v>147.11099999999999</v>
      </c>
      <c r="F1245" s="19">
        <f>[1]TOBEPAID!F958/1000</f>
        <v>0</v>
      </c>
      <c r="G1245" s="19">
        <f>[1]TOBEPAID!G958/1000</f>
        <v>0</v>
      </c>
      <c r="H1245" s="19">
        <f>147111/1000</f>
        <v>147.11099999999999</v>
      </c>
      <c r="I1245" s="19">
        <f>[1]TOBEPAID!I958/1000</f>
        <v>0</v>
      </c>
      <c r="J1245" s="19">
        <f>[1]TOBEPAID!J958/1000</f>
        <v>0</v>
      </c>
      <c r="K1245" s="19">
        <f>[1]TOBEPAID!K958/1000</f>
        <v>0</v>
      </c>
      <c r="L1245" s="19">
        <f>[1]TOBEPAID!L958/1000</f>
        <v>0</v>
      </c>
      <c r="M1245" s="19">
        <f>[1]TOBEPAID!M958/1000</f>
        <v>0</v>
      </c>
      <c r="N1245" s="19">
        <f>[1]TOBEPAID!N958/1000</f>
        <v>147.11099999999999</v>
      </c>
      <c r="O1245" s="19">
        <f>[1]TOBEPAID!O958/1000</f>
        <v>0</v>
      </c>
      <c r="P1245" s="19">
        <f>[1]TOBEPAID!P958/1000</f>
        <v>0</v>
      </c>
      <c r="Q1245" s="19">
        <f>[1]TOBEPAID!Q958/1000</f>
        <v>0</v>
      </c>
      <c r="R1245" s="19">
        <v>0</v>
      </c>
      <c r="S1245" s="19">
        <f>[1]TOBEPAID!S958/1000</f>
        <v>0</v>
      </c>
      <c r="T1245" s="19">
        <f>[1]TOBEPAID!T958/1000</f>
        <v>0</v>
      </c>
      <c r="U1245" s="19">
        <f>[1]TOBEPAID!U958/1000</f>
        <v>0</v>
      </c>
      <c r="V1245" s="19">
        <f>[1]TOBEPAID!V958/1000</f>
        <v>0</v>
      </c>
      <c r="W1245" s="19">
        <f>[1]TOBEPAID!W958/1000</f>
        <v>0</v>
      </c>
      <c r="X1245" s="19">
        <f>[1]TOBEPAID!X958/1000</f>
        <v>0</v>
      </c>
      <c r="Y1245" s="19">
        <f t="shared" si="229"/>
        <v>147.11099999999999</v>
      </c>
      <c r="Z1245" s="19">
        <f t="shared" si="230"/>
        <v>0</v>
      </c>
      <c r="AA1245" s="19">
        <f>[1]TOBEPAID!AA958/1000</f>
        <v>147.11099999999999</v>
      </c>
      <c r="AB1245" s="19">
        <f>[1]TOBEPAID!AB958/1000</f>
        <v>0</v>
      </c>
      <c r="AC1245" s="19"/>
      <c r="AD1245" s="19"/>
      <c r="AE1245" s="25" t="s">
        <v>52</v>
      </c>
      <c r="AF1245" s="34">
        <f>D1172+D1195+D1211+D1233</f>
        <v>10527.692000000001</v>
      </c>
      <c r="AG1245" s="34">
        <f>E1172+E1195+E1211+E1233</f>
        <v>0</v>
      </c>
      <c r="AH1245" s="34">
        <f>F1172+F1195+F1211+F1233</f>
        <v>0</v>
      </c>
      <c r="AI1245" s="34">
        <f t="shared" si="231"/>
        <v>0</v>
      </c>
      <c r="AJ1245" s="34">
        <f>L1172+L1195+L1211+L1233</f>
        <v>0</v>
      </c>
      <c r="AK1245" s="34">
        <f t="shared" si="232"/>
        <v>0</v>
      </c>
      <c r="AL1245" s="34">
        <f>O1172+O1195+O1211+O1233</f>
        <v>9914.9157599999999</v>
      </c>
      <c r="AM1245" s="34">
        <f>P1172+P1195+P1211+P1233</f>
        <v>872.51886000000002</v>
      </c>
      <c r="AN1245" s="34">
        <f t="shared" si="233"/>
        <v>10787.43462</v>
      </c>
      <c r="AO1245" s="34">
        <f>V1172+V1195+V1211+V1233</f>
        <v>0</v>
      </c>
      <c r="AP1245" s="34">
        <f t="shared" si="234"/>
        <v>10787.43462</v>
      </c>
      <c r="AQ1245" s="34">
        <f t="shared" si="235"/>
        <v>10787.43462</v>
      </c>
      <c r="AR1245" s="34">
        <f t="shared" si="236"/>
        <v>-259.74261999999908</v>
      </c>
      <c r="AS1245" s="34">
        <f t="shared" si="228"/>
        <v>-181.75341000000003</v>
      </c>
    </row>
    <row r="1246" spans="1:45" x14ac:dyDescent="0.2">
      <c r="A1246" s="18"/>
      <c r="C1246" s="3" t="s">
        <v>280</v>
      </c>
      <c r="D1246" s="19">
        <f>2360000/1000</f>
        <v>2360</v>
      </c>
      <c r="E1246" s="19">
        <f>[1]TOBEPAID!E959/1000</f>
        <v>2359.7596200000003</v>
      </c>
      <c r="F1246" s="19">
        <f>[1]TOBEPAID!F959/1000</f>
        <v>0</v>
      </c>
      <c r="G1246" s="19">
        <f>[1]TOBEPAID!G959/1000</f>
        <v>0</v>
      </c>
      <c r="H1246" s="19">
        <f>2359759/1000</f>
        <v>2359.759</v>
      </c>
      <c r="I1246" s="19">
        <f>[1]TOBEPAID!I959/1000</f>
        <v>0</v>
      </c>
      <c r="J1246" s="19">
        <f>[1]TOBEPAID!J959/1000</f>
        <v>0</v>
      </c>
      <c r="K1246" s="19">
        <f>[1]TOBEPAID!K959/1000</f>
        <v>0</v>
      </c>
      <c r="L1246" s="19">
        <f>[1]TOBEPAID!L959/1000</f>
        <v>0</v>
      </c>
      <c r="M1246" s="19">
        <f>[1]TOBEPAID!M959/1000</f>
        <v>0</v>
      </c>
      <c r="N1246" s="19">
        <f>[1]TOBEPAID!N959/1000</f>
        <v>2359.7596200000003</v>
      </c>
      <c r="O1246" s="19">
        <f>[1]TOBEPAID!O959/1000</f>
        <v>0</v>
      </c>
      <c r="P1246" s="19">
        <f>[1]TOBEPAID!P959/1000</f>
        <v>0</v>
      </c>
      <c r="Q1246" s="19">
        <f>[1]TOBEPAID!Q959/1000</f>
        <v>0</v>
      </c>
      <c r="R1246" s="19">
        <v>0</v>
      </c>
      <c r="S1246" s="19">
        <f>[1]TOBEPAID!S959/1000</f>
        <v>0</v>
      </c>
      <c r="T1246" s="19">
        <f>[1]TOBEPAID!T959/1000</f>
        <v>0</v>
      </c>
      <c r="U1246" s="19">
        <f>[1]TOBEPAID!U959/1000</f>
        <v>0</v>
      </c>
      <c r="V1246" s="19">
        <f>[1]TOBEPAID!V959/1000</f>
        <v>0</v>
      </c>
      <c r="W1246" s="19">
        <f>[1]TOBEPAID!W959/1000</f>
        <v>0</v>
      </c>
      <c r="X1246" s="19">
        <f>[1]TOBEPAID!X959/1000</f>
        <v>0</v>
      </c>
      <c r="Y1246" s="19">
        <f t="shared" si="229"/>
        <v>2359.759</v>
      </c>
      <c r="Z1246" s="19">
        <f t="shared" si="230"/>
        <v>0.24099999999998545</v>
      </c>
      <c r="AA1246" s="19">
        <f>[1]TOBEPAID!AA959/1000</f>
        <v>2359.7596200000003</v>
      </c>
      <c r="AB1246" s="19">
        <f>[1]TOBEPAID!AB959/1000</f>
        <v>0.24037999999988824</v>
      </c>
      <c r="AC1246" s="19"/>
      <c r="AD1246" s="19"/>
      <c r="AE1246" s="25" t="s">
        <v>87</v>
      </c>
      <c r="AF1246" s="34">
        <f>D1173+D1197+D1235</f>
        <v>374.16300000000001</v>
      </c>
      <c r="AG1246" s="34">
        <f>E1173+E1197+E1235</f>
        <v>0</v>
      </c>
      <c r="AH1246" s="34">
        <f>F1173+F1197+F1235</f>
        <v>0</v>
      </c>
      <c r="AI1246" s="34">
        <f t="shared" si="231"/>
        <v>0</v>
      </c>
      <c r="AJ1246" s="34">
        <f>L1173+L1197+L1235</f>
        <v>0</v>
      </c>
      <c r="AK1246" s="34">
        <f t="shared" si="232"/>
        <v>0</v>
      </c>
      <c r="AL1246" s="34">
        <f>O1173+O1197+O1235</f>
        <v>555.91641000000004</v>
      </c>
      <c r="AM1246" s="34">
        <f>P1173+P1197+P1235</f>
        <v>0</v>
      </c>
      <c r="AN1246" s="34">
        <f t="shared" si="233"/>
        <v>555.91641000000004</v>
      </c>
      <c r="AO1246" s="34">
        <f>V1173+V1197+V1235</f>
        <v>0</v>
      </c>
      <c r="AP1246" s="34">
        <f t="shared" si="234"/>
        <v>555.91641000000004</v>
      </c>
      <c r="AQ1246" s="34">
        <f t="shared" si="235"/>
        <v>555.91641000000004</v>
      </c>
      <c r="AR1246" s="34">
        <f t="shared" si="236"/>
        <v>-181.75341000000003</v>
      </c>
      <c r="AS1246" s="34">
        <f t="shared" si="228"/>
        <v>28408.962350000002</v>
      </c>
    </row>
    <row r="1247" spans="1:45" x14ac:dyDescent="0.2">
      <c r="A1247" s="18"/>
      <c r="D1247" s="21" t="s">
        <v>57</v>
      </c>
      <c r="E1247" s="21" t="s">
        <v>57</v>
      </c>
      <c r="F1247" s="21" t="s">
        <v>57</v>
      </c>
      <c r="G1247" s="21"/>
      <c r="H1247" s="21" t="s">
        <v>57</v>
      </c>
      <c r="I1247" s="21" t="s">
        <v>57</v>
      </c>
      <c r="J1247" s="21" t="s">
        <v>57</v>
      </c>
      <c r="K1247" s="21" t="s">
        <v>57</v>
      </c>
      <c r="L1247" s="21" t="s">
        <v>57</v>
      </c>
      <c r="M1247" s="21"/>
      <c r="N1247" s="21" t="s">
        <v>57</v>
      </c>
      <c r="O1247" s="21" t="s">
        <v>57</v>
      </c>
      <c r="P1247" s="21" t="s">
        <v>57</v>
      </c>
      <c r="Q1247" s="21"/>
      <c r="R1247" s="21" t="s">
        <v>57</v>
      </c>
      <c r="S1247" s="21" t="s">
        <v>57</v>
      </c>
      <c r="T1247" s="21" t="s">
        <v>57</v>
      </c>
      <c r="U1247" s="21" t="s">
        <v>57</v>
      </c>
      <c r="V1247" s="21" t="s">
        <v>57</v>
      </c>
      <c r="W1247" s="21"/>
      <c r="X1247" s="21" t="s">
        <v>57</v>
      </c>
      <c r="Y1247" s="21" t="s">
        <v>57</v>
      </c>
      <c r="Z1247" s="21" t="s">
        <v>57</v>
      </c>
      <c r="AA1247" s="21" t="s">
        <v>57</v>
      </c>
      <c r="AB1247" s="21" t="s">
        <v>57</v>
      </c>
      <c r="AC1247" s="21"/>
      <c r="AD1247" s="21"/>
      <c r="AE1247" s="25" t="s">
        <v>88</v>
      </c>
      <c r="AF1247" s="34">
        <f t="shared" ref="AF1247:AH1248" si="237">D1183+D1205</f>
        <v>38724.033000000003</v>
      </c>
      <c r="AG1247" s="34">
        <f t="shared" si="237"/>
        <v>0</v>
      </c>
      <c r="AH1247" s="34">
        <f t="shared" si="237"/>
        <v>0</v>
      </c>
      <c r="AI1247" s="34">
        <f t="shared" si="231"/>
        <v>0</v>
      </c>
      <c r="AJ1247" s="34">
        <f>L1183+L1205</f>
        <v>0</v>
      </c>
      <c r="AK1247" s="34">
        <f t="shared" si="232"/>
        <v>0</v>
      </c>
      <c r="AL1247" s="34">
        <f>O1183+O1205</f>
        <v>10315.07065</v>
      </c>
      <c r="AM1247" s="34">
        <f>P1183+P1205</f>
        <v>0</v>
      </c>
      <c r="AN1247" s="34">
        <f t="shared" si="233"/>
        <v>10315.07065</v>
      </c>
      <c r="AO1247" s="34">
        <f>V1183+V1205</f>
        <v>0</v>
      </c>
      <c r="AP1247" s="34">
        <f t="shared" si="234"/>
        <v>10315.07065</v>
      </c>
      <c r="AQ1247" s="34">
        <f t="shared" si="235"/>
        <v>10315.07065</v>
      </c>
      <c r="AR1247" s="34">
        <f t="shared" si="236"/>
        <v>28408.962350000002</v>
      </c>
      <c r="AS1247" s="34">
        <f t="shared" si="228"/>
        <v>-0.10082999999940512</v>
      </c>
    </row>
    <row r="1248" spans="1:45" x14ac:dyDescent="0.2">
      <c r="A1248" s="18"/>
      <c r="D1248" s="30">
        <f>SUM(D1241:D1246)</f>
        <v>75059.987000000008</v>
      </c>
      <c r="E1248" s="30">
        <f>SUM(E1241:E1246)</f>
        <v>2506.8706200000001</v>
      </c>
      <c r="F1248" s="30">
        <f>SUM(F1241:F1246)</f>
        <v>0</v>
      </c>
      <c r="G1248" s="30"/>
      <c r="H1248" s="30">
        <f>SUM(H1241:H1246)</f>
        <v>63761.085749999998</v>
      </c>
      <c r="I1248" s="30">
        <f>SUM(I1241:I1246)</f>
        <v>0</v>
      </c>
      <c r="J1248" s="30">
        <f>SUM(J1241:J1246)</f>
        <v>0</v>
      </c>
      <c r="K1248" s="30">
        <f>SUM(K1241:K1246)</f>
        <v>0</v>
      </c>
      <c r="L1248" s="30">
        <f>SUM(L1241:L1246)</f>
        <v>0</v>
      </c>
      <c r="M1248" s="30"/>
      <c r="N1248" s="30">
        <f>SUM(N1241:N1246)</f>
        <v>2506.8706200000001</v>
      </c>
      <c r="O1248" s="30">
        <f>SUM(O1241:O1246)</f>
        <v>197.4452</v>
      </c>
      <c r="P1248" s="30">
        <f>SUM(P1241:P1246)</f>
        <v>0</v>
      </c>
      <c r="Q1248" s="30"/>
      <c r="R1248" s="30">
        <f>SUM(R1241:R1246)</f>
        <v>537.23299999999995</v>
      </c>
      <c r="S1248" s="30">
        <f>SUM(S1241:S1246)</f>
        <v>0</v>
      </c>
      <c r="T1248" s="30">
        <f>SUM(T1241:T1246)</f>
        <v>0</v>
      </c>
      <c r="U1248" s="30">
        <f>SUM(U1241:U1246)</f>
        <v>0</v>
      </c>
      <c r="V1248" s="30">
        <f>SUM(V1241:V1246)</f>
        <v>0</v>
      </c>
      <c r="W1248" s="30"/>
      <c r="X1248" s="30">
        <f>SUM(X1241:X1246)</f>
        <v>197.4452</v>
      </c>
      <c r="Y1248" s="30">
        <f>SUM(Y1241:Y1246)</f>
        <v>64298.318749999999</v>
      </c>
      <c r="Z1248" s="30">
        <f>SUM(Z1241:Z1246)</f>
        <v>10761.668249999997</v>
      </c>
      <c r="AA1248" s="30">
        <f>SUM(AA1241:AA1246)</f>
        <v>2704.3158200000003</v>
      </c>
      <c r="AB1248" s="30">
        <f>SUM(AB1241:AB1246)</f>
        <v>2454.6712699999994</v>
      </c>
      <c r="AC1248" s="30"/>
      <c r="AD1248" s="30"/>
      <c r="AE1248" s="25" t="s">
        <v>96</v>
      </c>
      <c r="AF1248" s="34">
        <f t="shared" si="237"/>
        <v>26496.792000000001</v>
      </c>
      <c r="AG1248" s="34">
        <f t="shared" si="237"/>
        <v>0</v>
      </c>
      <c r="AH1248" s="34">
        <f t="shared" si="237"/>
        <v>0</v>
      </c>
      <c r="AI1248" s="34">
        <f t="shared" si="231"/>
        <v>0</v>
      </c>
      <c r="AJ1248" s="34">
        <f>L1184+L1206</f>
        <v>0</v>
      </c>
      <c r="AK1248" s="34">
        <f t="shared" si="232"/>
        <v>0</v>
      </c>
      <c r="AL1248" s="34">
        <f>O1184+O1206</f>
        <v>26496.892830000001</v>
      </c>
      <c r="AM1248" s="34">
        <f>P1184+P1206</f>
        <v>0</v>
      </c>
      <c r="AN1248" s="34">
        <f t="shared" si="233"/>
        <v>26496.892830000001</v>
      </c>
      <c r="AO1248" s="34">
        <f>V1184+V1206</f>
        <v>0</v>
      </c>
      <c r="AP1248" s="34">
        <f t="shared" si="234"/>
        <v>26496.892830000001</v>
      </c>
      <c r="AQ1248" s="34">
        <f t="shared" si="235"/>
        <v>26496.892830000001</v>
      </c>
      <c r="AR1248" s="34">
        <f t="shared" si="236"/>
        <v>-0.10082999999940512</v>
      </c>
      <c r="AS1248" s="34">
        <f t="shared" si="228"/>
        <v>0</v>
      </c>
    </row>
    <row r="1249" spans="1:45" x14ac:dyDescent="0.2">
      <c r="A1249" s="18"/>
      <c r="D1249" s="21" t="s">
        <v>57</v>
      </c>
      <c r="E1249" s="21" t="s">
        <v>57</v>
      </c>
      <c r="F1249" s="21" t="s">
        <v>57</v>
      </c>
      <c r="G1249" s="21"/>
      <c r="H1249" s="21" t="s">
        <v>57</v>
      </c>
      <c r="I1249" s="21" t="s">
        <v>57</v>
      </c>
      <c r="J1249" s="21" t="s">
        <v>57</v>
      </c>
      <c r="K1249" s="21" t="s">
        <v>57</v>
      </c>
      <c r="L1249" s="21" t="s">
        <v>57</v>
      </c>
      <c r="M1249" s="21"/>
      <c r="N1249" s="21" t="s">
        <v>57</v>
      </c>
      <c r="O1249" s="21" t="s">
        <v>57</v>
      </c>
      <c r="P1249" s="21" t="s">
        <v>57</v>
      </c>
      <c r="Q1249" s="21"/>
      <c r="R1249" s="21" t="s">
        <v>57</v>
      </c>
      <c r="S1249" s="21" t="s">
        <v>57</v>
      </c>
      <c r="T1249" s="21" t="s">
        <v>57</v>
      </c>
      <c r="U1249" s="21" t="s">
        <v>57</v>
      </c>
      <c r="V1249" s="21" t="s">
        <v>57</v>
      </c>
      <c r="W1249" s="21"/>
      <c r="X1249" s="21" t="s">
        <v>57</v>
      </c>
      <c r="Y1249" s="21" t="s">
        <v>57</v>
      </c>
      <c r="Z1249" s="21" t="s">
        <v>57</v>
      </c>
      <c r="AA1249" s="21" t="s">
        <v>57</v>
      </c>
      <c r="AB1249" s="21" t="s">
        <v>57</v>
      </c>
      <c r="AC1249" s="21"/>
      <c r="AD1249" s="21"/>
      <c r="AE1249" s="25" t="s">
        <v>97</v>
      </c>
      <c r="AF1249" s="34">
        <f>+D1194</f>
        <v>0</v>
      </c>
      <c r="AG1249" s="34">
        <f>+E1194</f>
        <v>0</v>
      </c>
      <c r="AH1249" s="34">
        <f>+F1194</f>
        <v>0</v>
      </c>
      <c r="AI1249" s="34">
        <f t="shared" si="231"/>
        <v>0</v>
      </c>
      <c r="AJ1249" s="34">
        <f>+L1194</f>
        <v>0</v>
      </c>
      <c r="AK1249" s="34">
        <f t="shared" si="232"/>
        <v>0</v>
      </c>
      <c r="AL1249" s="34">
        <f>+O1194</f>
        <v>0</v>
      </c>
      <c r="AM1249" s="34">
        <f>+P1194</f>
        <v>0</v>
      </c>
      <c r="AN1249" s="34">
        <f t="shared" si="233"/>
        <v>0</v>
      </c>
      <c r="AO1249" s="34">
        <f>+V1194</f>
        <v>0</v>
      </c>
      <c r="AP1249" s="34">
        <f t="shared" si="234"/>
        <v>0</v>
      </c>
      <c r="AQ1249" s="34">
        <f t="shared" si="235"/>
        <v>0</v>
      </c>
      <c r="AR1249" s="34">
        <f t="shared" si="236"/>
        <v>0</v>
      </c>
    </row>
    <row r="1250" spans="1:45" x14ac:dyDescent="0.2">
      <c r="A1250" s="18"/>
      <c r="D1250" s="21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  <c r="R1250" s="70" t="s">
        <v>346</v>
      </c>
      <c r="S1250" s="4"/>
      <c r="T1250" s="21"/>
      <c r="U1250" s="21"/>
      <c r="V1250" s="21"/>
      <c r="W1250" s="21"/>
      <c r="X1250" s="21"/>
      <c r="Y1250" s="21"/>
      <c r="Z1250" s="21"/>
      <c r="AA1250" s="21"/>
      <c r="AB1250" s="21"/>
      <c r="AC1250" s="21"/>
      <c r="AD1250" s="21"/>
      <c r="AE1250" s="25"/>
      <c r="AF1250" s="34"/>
      <c r="AG1250" s="34"/>
      <c r="AH1250" s="34"/>
      <c r="AI1250" s="34"/>
      <c r="AJ1250" s="34"/>
      <c r="AK1250" s="34"/>
      <c r="AL1250" s="34"/>
      <c r="AM1250" s="34"/>
      <c r="AN1250" s="34"/>
      <c r="AO1250" s="34"/>
      <c r="AP1250" s="34"/>
      <c r="AQ1250" s="34"/>
      <c r="AR1250" s="34"/>
    </row>
    <row r="1251" spans="1:45" x14ac:dyDescent="0.2">
      <c r="A1251" s="18"/>
      <c r="D1251" s="21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  <c r="R1251" s="71" t="s">
        <v>347</v>
      </c>
      <c r="S1251" s="71"/>
      <c r="T1251" s="21"/>
      <c r="U1251" s="21"/>
      <c r="V1251" s="21"/>
      <c r="W1251" s="21"/>
      <c r="X1251" s="21"/>
      <c r="Y1251" s="21"/>
      <c r="Z1251" s="21"/>
      <c r="AA1251" s="21"/>
      <c r="AB1251" s="21"/>
      <c r="AC1251" s="21"/>
      <c r="AD1251" s="21"/>
      <c r="AE1251" s="25"/>
      <c r="AF1251" s="34"/>
      <c r="AG1251" s="34"/>
      <c r="AH1251" s="34"/>
      <c r="AI1251" s="34"/>
      <c r="AJ1251" s="34"/>
      <c r="AK1251" s="34"/>
      <c r="AL1251" s="34"/>
      <c r="AM1251" s="34"/>
      <c r="AN1251" s="34"/>
      <c r="AO1251" s="34"/>
      <c r="AP1251" s="34"/>
      <c r="AQ1251" s="34"/>
      <c r="AR1251" s="34"/>
    </row>
    <row r="1252" spans="1:45" x14ac:dyDescent="0.2">
      <c r="A1252" s="18"/>
      <c r="D1252" s="21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  <c r="R1252" s="71" t="s">
        <v>348</v>
      </c>
      <c r="S1252" s="4"/>
      <c r="T1252" s="21"/>
      <c r="U1252" s="21"/>
      <c r="V1252" s="21"/>
      <c r="W1252" s="21"/>
      <c r="X1252" s="21"/>
      <c r="Y1252" s="21"/>
      <c r="Z1252" s="21"/>
      <c r="AA1252" s="21"/>
      <c r="AB1252" s="21"/>
      <c r="AC1252" s="21"/>
      <c r="AD1252" s="21"/>
      <c r="AE1252" s="25"/>
      <c r="AF1252" s="34"/>
      <c r="AG1252" s="34"/>
      <c r="AH1252" s="34"/>
      <c r="AI1252" s="34"/>
      <c r="AJ1252" s="34"/>
      <c r="AK1252" s="34"/>
      <c r="AL1252" s="34"/>
      <c r="AM1252" s="34"/>
      <c r="AN1252" s="34"/>
      <c r="AO1252" s="34"/>
      <c r="AP1252" s="34"/>
      <c r="AQ1252" s="34"/>
      <c r="AR1252" s="34"/>
    </row>
    <row r="1253" spans="1:45" x14ac:dyDescent="0.2">
      <c r="A1253" s="18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21"/>
      <c r="R1253" s="71" t="s">
        <v>349</v>
      </c>
      <c r="S1253" s="4"/>
      <c r="T1253" s="21"/>
      <c r="U1253" s="21"/>
      <c r="V1253" s="21"/>
      <c r="W1253" s="21"/>
      <c r="X1253" s="21"/>
      <c r="Y1253" s="21"/>
      <c r="Z1253" s="21"/>
      <c r="AA1253" s="21"/>
      <c r="AB1253" s="21"/>
      <c r="AC1253" s="21"/>
      <c r="AD1253" s="21"/>
      <c r="AE1253" s="25"/>
      <c r="AF1253" s="34"/>
      <c r="AG1253" s="34"/>
      <c r="AH1253" s="34"/>
      <c r="AI1253" s="34"/>
      <c r="AJ1253" s="34"/>
      <c r="AK1253" s="34"/>
      <c r="AL1253" s="34"/>
      <c r="AM1253" s="34"/>
      <c r="AN1253" s="34"/>
      <c r="AO1253" s="34"/>
      <c r="AP1253" s="34"/>
      <c r="AQ1253" s="34"/>
      <c r="AR1253" s="34"/>
    </row>
    <row r="1254" spans="1:45" ht="15.75" thickBot="1" x14ac:dyDescent="0.25">
      <c r="A1254" s="18"/>
      <c r="D1254" s="21"/>
      <c r="E1254" s="21"/>
      <c r="F1254" s="21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  <c r="R1254" s="71" t="s">
        <v>350</v>
      </c>
      <c r="S1254" s="72"/>
      <c r="T1254" s="21"/>
      <c r="U1254" s="21"/>
      <c r="V1254" s="21"/>
      <c r="W1254" s="21"/>
      <c r="X1254" s="21"/>
      <c r="Y1254" s="21"/>
      <c r="Z1254" s="21"/>
      <c r="AA1254" s="21"/>
      <c r="AB1254" s="21"/>
      <c r="AC1254" s="21"/>
      <c r="AD1254" s="21"/>
      <c r="AE1254" s="25"/>
      <c r="AF1254" s="34"/>
      <c r="AG1254" s="34"/>
      <c r="AH1254" s="34"/>
      <c r="AI1254" s="34"/>
      <c r="AJ1254" s="34"/>
      <c r="AK1254" s="34"/>
      <c r="AL1254" s="34"/>
      <c r="AM1254" s="34"/>
      <c r="AN1254" s="34"/>
      <c r="AO1254" s="34"/>
      <c r="AP1254" s="34"/>
      <c r="AQ1254" s="34"/>
      <c r="AR1254" s="34"/>
    </row>
    <row r="1255" spans="1:45" ht="15.75" thickTop="1" x14ac:dyDescent="0.2">
      <c r="A1255" s="18"/>
      <c r="D1255" s="21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  <c r="Q1255" s="21"/>
      <c r="R1255" s="21"/>
      <c r="S1255" s="21"/>
      <c r="T1255" s="21"/>
      <c r="U1255" s="21"/>
      <c r="V1255" s="21"/>
      <c r="W1255" s="21"/>
      <c r="X1255" s="21"/>
      <c r="Y1255" s="21"/>
      <c r="Z1255" s="21"/>
      <c r="AA1255" s="21"/>
      <c r="AB1255" s="21"/>
      <c r="AC1255" s="21"/>
      <c r="AD1255" s="21"/>
      <c r="AE1255" s="25"/>
      <c r="AF1255" s="34"/>
      <c r="AG1255" s="34"/>
      <c r="AH1255" s="34"/>
      <c r="AI1255" s="34"/>
      <c r="AJ1255" s="34"/>
      <c r="AK1255" s="34"/>
      <c r="AL1255" s="34"/>
      <c r="AM1255" s="34"/>
      <c r="AN1255" s="34"/>
      <c r="AO1255" s="34"/>
      <c r="AP1255" s="34"/>
      <c r="AQ1255" s="34"/>
      <c r="AR1255" s="34"/>
    </row>
    <row r="1256" spans="1:45" x14ac:dyDescent="0.2">
      <c r="A1256" s="18"/>
      <c r="D1256" s="21"/>
      <c r="E1256" s="21"/>
      <c r="F1256" s="21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  <c r="Q1256" s="21"/>
      <c r="R1256" s="21"/>
      <c r="S1256" s="21"/>
      <c r="T1256" s="21"/>
      <c r="U1256" s="21"/>
      <c r="V1256" s="21"/>
      <c r="W1256" s="21"/>
      <c r="X1256" s="21"/>
      <c r="Y1256" s="21"/>
      <c r="Z1256" s="21"/>
      <c r="AA1256" s="21"/>
      <c r="AB1256" s="21"/>
      <c r="AC1256" s="21"/>
      <c r="AD1256" s="21"/>
      <c r="AE1256" s="25"/>
      <c r="AF1256" s="34"/>
      <c r="AG1256" s="34"/>
      <c r="AH1256" s="34"/>
      <c r="AI1256" s="34"/>
      <c r="AJ1256" s="34"/>
      <c r="AK1256" s="34"/>
      <c r="AL1256" s="34"/>
      <c r="AM1256" s="34"/>
      <c r="AN1256" s="34"/>
      <c r="AO1256" s="34"/>
      <c r="AP1256" s="34"/>
      <c r="AQ1256" s="34"/>
      <c r="AR1256" s="34"/>
    </row>
    <row r="1257" spans="1:45" x14ac:dyDescent="0.2">
      <c r="A1257" s="18"/>
      <c r="D1257" s="21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  <c r="Q1257" s="21"/>
      <c r="R1257" s="21"/>
      <c r="S1257" s="21"/>
      <c r="T1257" s="21"/>
      <c r="U1257" s="21"/>
      <c r="V1257" s="21"/>
      <c r="W1257" s="21"/>
      <c r="X1257" s="21"/>
      <c r="Y1257" s="21"/>
      <c r="Z1257" s="21"/>
      <c r="AA1257" s="21"/>
      <c r="AB1257" s="21"/>
      <c r="AC1257" s="21"/>
      <c r="AD1257" s="21"/>
      <c r="AE1257" s="25"/>
      <c r="AF1257" s="34"/>
      <c r="AG1257" s="34"/>
      <c r="AH1257" s="34"/>
      <c r="AI1257" s="34"/>
      <c r="AJ1257" s="34"/>
      <c r="AK1257" s="34"/>
      <c r="AL1257" s="34"/>
      <c r="AM1257" s="34"/>
      <c r="AN1257" s="34"/>
      <c r="AO1257" s="34"/>
      <c r="AP1257" s="34"/>
      <c r="AQ1257" s="34"/>
      <c r="AR1257" s="34"/>
    </row>
    <row r="1258" spans="1:45" x14ac:dyDescent="0.2">
      <c r="A1258" s="18"/>
      <c r="D1258" s="21"/>
      <c r="E1258" s="21"/>
      <c r="F1258" s="21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  <c r="Q1258" s="21"/>
      <c r="R1258" s="21"/>
      <c r="S1258" s="21"/>
      <c r="T1258" s="21"/>
      <c r="U1258" s="21"/>
      <c r="V1258" s="21"/>
      <c r="W1258" s="21"/>
      <c r="X1258" s="21"/>
      <c r="Y1258" s="21"/>
      <c r="Z1258" s="21"/>
      <c r="AA1258" s="21"/>
      <c r="AB1258" s="21"/>
      <c r="AC1258" s="21"/>
      <c r="AD1258" s="21"/>
      <c r="AE1258" s="25"/>
      <c r="AF1258" s="34"/>
      <c r="AG1258" s="34"/>
      <c r="AH1258" s="34"/>
      <c r="AI1258" s="34"/>
      <c r="AJ1258" s="34"/>
      <c r="AK1258" s="34"/>
      <c r="AL1258" s="34"/>
      <c r="AM1258" s="34"/>
      <c r="AN1258" s="34"/>
      <c r="AO1258" s="34"/>
      <c r="AP1258" s="34"/>
      <c r="AQ1258" s="34"/>
      <c r="AR1258" s="34"/>
    </row>
    <row r="1259" spans="1:45" x14ac:dyDescent="0.2">
      <c r="A1259" s="18"/>
      <c r="D1259" s="21"/>
      <c r="E1259" s="21"/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  <c r="Q1259" s="21"/>
      <c r="R1259" s="21"/>
      <c r="S1259" s="21"/>
      <c r="T1259" s="21"/>
      <c r="U1259" s="21"/>
      <c r="V1259" s="21"/>
      <c r="W1259" s="21"/>
      <c r="X1259" s="21"/>
      <c r="Y1259" s="21"/>
      <c r="Z1259" s="21"/>
      <c r="AA1259" s="21"/>
      <c r="AB1259" s="21"/>
      <c r="AC1259" s="21"/>
      <c r="AD1259" s="21"/>
      <c r="AE1259" s="25"/>
      <c r="AF1259" s="34"/>
      <c r="AG1259" s="34"/>
      <c r="AH1259" s="34"/>
      <c r="AI1259" s="34"/>
      <c r="AJ1259" s="34"/>
      <c r="AK1259" s="34"/>
      <c r="AL1259" s="34"/>
      <c r="AM1259" s="34"/>
      <c r="AN1259" s="34"/>
      <c r="AO1259" s="34"/>
      <c r="AP1259" s="34"/>
      <c r="AQ1259" s="34"/>
      <c r="AR1259" s="34"/>
    </row>
    <row r="1260" spans="1:45" x14ac:dyDescent="0.2">
      <c r="A1260" s="18">
        <v>99</v>
      </c>
      <c r="B1260" s="3" t="s">
        <v>351</v>
      </c>
      <c r="C1260" s="17" t="s">
        <v>51</v>
      </c>
      <c r="D1260" s="19">
        <f>57052383/1000</f>
        <v>57052.383000000002</v>
      </c>
      <c r="E1260" s="19">
        <f>[1]TOBEPAID!E963/1000</f>
        <v>0</v>
      </c>
      <c r="F1260" s="19">
        <f>[1]TOBEPAID!F963/1000</f>
        <v>0</v>
      </c>
      <c r="G1260" s="19">
        <f>[1]TOBEPAID!G963/1000</f>
        <v>0</v>
      </c>
      <c r="H1260" s="19">
        <f>56192248/1000</f>
        <v>56192.248</v>
      </c>
      <c r="I1260" s="19">
        <f>[1]TOBEPAID!I963/1000</f>
        <v>0</v>
      </c>
      <c r="J1260" s="19">
        <f>[1]TOBEPAID!J963/1000</f>
        <v>0</v>
      </c>
      <c r="K1260" s="19">
        <f>[1]TOBEPAID!K963/1000</f>
        <v>0</v>
      </c>
      <c r="L1260" s="19">
        <f>[1]TOBEPAID!L963/1000</f>
        <v>0</v>
      </c>
      <c r="M1260" s="19">
        <f>[1]TOBEPAID!M963/1000</f>
        <v>0</v>
      </c>
      <c r="N1260" s="19">
        <f>[1]TOBEPAID!N963/1000</f>
        <v>0</v>
      </c>
      <c r="O1260" s="19">
        <f>[1]TOBEPAID!O963/1000</f>
        <v>407.18637000000001</v>
      </c>
      <c r="P1260" s="19">
        <f>[1]TOBEPAID!P963/1000</f>
        <v>0</v>
      </c>
      <c r="Q1260" s="19">
        <f>[1]TOBEPAID!Q963/1000</f>
        <v>0</v>
      </c>
      <c r="R1260" s="19">
        <f>407186/1000</f>
        <v>407.18599999999998</v>
      </c>
      <c r="S1260" s="19">
        <f>[1]TOBEPAID!S963/1000</f>
        <v>0</v>
      </c>
      <c r="T1260" s="19">
        <f>[1]TOBEPAID!T963/1000</f>
        <v>0</v>
      </c>
      <c r="U1260" s="19">
        <f>[1]TOBEPAID!U963/1000</f>
        <v>0</v>
      </c>
      <c r="V1260" s="19">
        <f>[1]TOBEPAID!V963/1000</f>
        <v>0</v>
      </c>
      <c r="W1260" s="19">
        <f>[1]TOBEPAID!W963/1000</f>
        <v>0</v>
      </c>
      <c r="X1260" s="19">
        <f>[1]TOBEPAID!X963/1000</f>
        <v>407.18637000000001</v>
      </c>
      <c r="Y1260" s="19">
        <f t="shared" ref="Y1260:Y1266" si="238">+H1260+R1260</f>
        <v>56599.434000000001</v>
      </c>
      <c r="Z1260" s="19">
        <f t="shared" ref="Z1260:Z1266" si="239">+D1260-Y1260</f>
        <v>452.94900000000052</v>
      </c>
      <c r="AA1260" s="19">
        <f>[1]TOBEPAID!AA963/1000</f>
        <v>407.18637000000001</v>
      </c>
      <c r="AB1260" s="19">
        <f>[1]TOBEPAID!AB963/1000</f>
        <v>56645.197340000006</v>
      </c>
      <c r="AC1260" s="19"/>
      <c r="AD1260" s="19"/>
      <c r="AE1260" s="25" t="s">
        <v>202</v>
      </c>
      <c r="AS1260" s="34">
        <f>+AF1263-AK1263-AP1263</f>
        <v>-9.7907300000006217</v>
      </c>
    </row>
    <row r="1261" spans="1:45" x14ac:dyDescent="0.2">
      <c r="A1261" s="18"/>
      <c r="C1261" s="17" t="s">
        <v>352</v>
      </c>
      <c r="D1261" s="19">
        <f>1614000/1000</f>
        <v>1614</v>
      </c>
      <c r="E1261" s="19"/>
      <c r="F1261" s="19"/>
      <c r="G1261" s="19"/>
      <c r="H1261" s="19">
        <f>1614000/1000</f>
        <v>1614</v>
      </c>
      <c r="I1261" s="19"/>
      <c r="J1261" s="19"/>
      <c r="K1261" s="19"/>
      <c r="L1261" s="19"/>
      <c r="M1261" s="19"/>
      <c r="N1261" s="19"/>
      <c r="O1261" s="19"/>
      <c r="P1261" s="19"/>
      <c r="Q1261" s="19"/>
      <c r="R1261" s="19">
        <v>0</v>
      </c>
      <c r="S1261" s="19"/>
      <c r="T1261" s="19"/>
      <c r="U1261" s="19"/>
      <c r="V1261" s="19"/>
      <c r="W1261" s="19"/>
      <c r="X1261" s="19"/>
      <c r="Y1261" s="19">
        <f>+H1261+R1261</f>
        <v>1614</v>
      </c>
      <c r="Z1261" s="19">
        <f>+D1261-Y1261</f>
        <v>0</v>
      </c>
      <c r="AA1261" s="19"/>
      <c r="AB1261" s="19"/>
      <c r="AC1261" s="19"/>
      <c r="AD1261" s="19"/>
      <c r="AE1261" s="25"/>
      <c r="AS1261" s="34"/>
    </row>
    <row r="1262" spans="1:45" x14ac:dyDescent="0.2">
      <c r="A1262" s="18"/>
      <c r="C1262" s="17" t="s">
        <v>353</v>
      </c>
      <c r="D1262" s="19">
        <f>259301000/1000</f>
        <v>259301</v>
      </c>
      <c r="E1262" s="19"/>
      <c r="F1262" s="19"/>
      <c r="G1262" s="19"/>
      <c r="H1262" s="19">
        <f>24948796/1000</f>
        <v>24948.795999999998</v>
      </c>
      <c r="I1262" s="19"/>
      <c r="J1262" s="19"/>
      <c r="K1262" s="19"/>
      <c r="L1262" s="19"/>
      <c r="M1262" s="19"/>
      <c r="N1262" s="19"/>
      <c r="O1262" s="19"/>
      <c r="P1262" s="19"/>
      <c r="Q1262" s="19"/>
      <c r="R1262" s="19">
        <v>0</v>
      </c>
      <c r="S1262" s="19"/>
      <c r="T1262" s="19"/>
      <c r="U1262" s="19"/>
      <c r="V1262" s="19"/>
      <c r="W1262" s="19"/>
      <c r="X1262" s="19"/>
      <c r="Y1262" s="19">
        <f t="shared" si="238"/>
        <v>24948.795999999998</v>
      </c>
      <c r="Z1262" s="19">
        <f t="shared" si="239"/>
        <v>234352.204</v>
      </c>
      <c r="AA1262" s="19"/>
      <c r="AB1262" s="19"/>
      <c r="AC1262" s="19"/>
      <c r="AD1262" s="19"/>
      <c r="AE1262" s="25"/>
      <c r="AS1262" s="34"/>
    </row>
    <row r="1263" spans="1:45" x14ac:dyDescent="0.2">
      <c r="C1263" s="3" t="s">
        <v>250</v>
      </c>
      <c r="D1263" s="19">
        <f>219550506/1000</f>
        <v>219550.50599999999</v>
      </c>
      <c r="E1263" s="19">
        <f>[1]TOBEPAID!E964/1000</f>
        <v>10000</v>
      </c>
      <c r="F1263" s="19">
        <f>[1]TOBEPAID!F964/1000</f>
        <v>0</v>
      </c>
      <c r="G1263" s="19">
        <f>[1]TOBEPAID!G964/1000</f>
        <v>0</v>
      </c>
      <c r="H1263" s="19">
        <f>219550506/1000</f>
        <v>219550.50599999999</v>
      </c>
      <c r="I1263" s="19">
        <f>[1]TOBEPAID!I964/1000</f>
        <v>0</v>
      </c>
      <c r="J1263" s="19">
        <f>[1]TOBEPAID!J964/1000</f>
        <v>0</v>
      </c>
      <c r="K1263" s="19">
        <f>[1]TOBEPAID!K964/1000</f>
        <v>0</v>
      </c>
      <c r="L1263" s="19">
        <f>[1]TOBEPAID!L964/1000</f>
        <v>0</v>
      </c>
      <c r="M1263" s="19">
        <f>[1]TOBEPAID!M964/1000</f>
        <v>0</v>
      </c>
      <c r="N1263" s="19">
        <f>[1]TOBEPAID!N964/1000</f>
        <v>10000</v>
      </c>
      <c r="O1263" s="19">
        <f>[1]TOBEPAID!O964/1000</f>
        <v>0</v>
      </c>
      <c r="P1263" s="19">
        <f>[1]TOBEPAID!P964/1000</f>
        <v>0</v>
      </c>
      <c r="Q1263" s="19">
        <f>[1]TOBEPAID!Q964/1000</f>
        <v>0</v>
      </c>
      <c r="R1263" s="19">
        <v>0</v>
      </c>
      <c r="S1263" s="19">
        <f>[1]TOBEPAID!S964/1000</f>
        <v>0</v>
      </c>
      <c r="T1263" s="19">
        <f>[1]TOBEPAID!T964/1000</f>
        <v>0</v>
      </c>
      <c r="U1263" s="19">
        <f>[1]TOBEPAID!U964/1000</f>
        <v>0</v>
      </c>
      <c r="V1263" s="19">
        <f>[1]TOBEPAID!V964/1000</f>
        <v>0</v>
      </c>
      <c r="W1263" s="19">
        <f>[1]TOBEPAID!W964/1000</f>
        <v>0</v>
      </c>
      <c r="X1263" s="19">
        <f>[1]TOBEPAID!X964/1000</f>
        <v>0</v>
      </c>
      <c r="Y1263" s="19">
        <f t="shared" si="238"/>
        <v>219550.50599999999</v>
      </c>
      <c r="Z1263" s="19">
        <f t="shared" si="239"/>
        <v>0</v>
      </c>
      <c r="AA1263" s="19">
        <f>[1]TOBEPAID!AA964/1000</f>
        <v>10000</v>
      </c>
      <c r="AB1263" s="19">
        <f>[1]TOBEPAID!AB964/1000</f>
        <v>0</v>
      </c>
      <c r="AC1263" s="19"/>
      <c r="AD1263" s="19"/>
      <c r="AF1263" s="34">
        <f>D1196+D1234+D1220</f>
        <v>3366.2359999999999</v>
      </c>
      <c r="AG1263" s="34">
        <f>E1196+E1234+E1220</f>
        <v>0</v>
      </c>
      <c r="AH1263" s="34">
        <f>F1196+F1234+F1220</f>
        <v>0</v>
      </c>
      <c r="AI1263" s="34">
        <f>+AG1263+AH1263</f>
        <v>0</v>
      </c>
      <c r="AJ1263" s="34">
        <f>L1196+L1234+L1220</f>
        <v>0</v>
      </c>
      <c r="AK1263" s="34">
        <f>+AI1263+AJ1263</f>
        <v>0</v>
      </c>
      <c r="AL1263" s="34">
        <f>O1196+O1234+O1220</f>
        <v>3376.0267300000005</v>
      </c>
      <c r="AM1263" s="34">
        <f>P1196+P1234+P1220</f>
        <v>0</v>
      </c>
      <c r="AN1263" s="34">
        <f>+AL1263+AM1263</f>
        <v>3376.0267300000005</v>
      </c>
      <c r="AO1263" s="34">
        <f>V1196+V1234+V1220</f>
        <v>0</v>
      </c>
      <c r="AP1263" s="34">
        <f>+AN1263+AO1263</f>
        <v>3376.0267300000005</v>
      </c>
      <c r="AQ1263" s="34">
        <f>+AI1263+AN1263</f>
        <v>3376.0267300000005</v>
      </c>
      <c r="AR1263" s="34">
        <f>+AF1263-AQ1263</f>
        <v>-9.7907300000006217</v>
      </c>
      <c r="AS1263" s="34">
        <f>+AF1266-AK1266-AP1266</f>
        <v>0</v>
      </c>
    </row>
    <row r="1264" spans="1:45" x14ac:dyDescent="0.2">
      <c r="C1264" s="17" t="s">
        <v>127</v>
      </c>
      <c r="D1264" s="19">
        <f>13000000/1000</f>
        <v>13000</v>
      </c>
      <c r="E1264" s="19"/>
      <c r="F1264" s="19"/>
      <c r="G1264" s="19"/>
      <c r="H1264" s="19">
        <f>13000000/1000</f>
        <v>13000</v>
      </c>
      <c r="I1264" s="19"/>
      <c r="J1264" s="19"/>
      <c r="K1264" s="19"/>
      <c r="L1264" s="19"/>
      <c r="M1264" s="19"/>
      <c r="N1264" s="19"/>
      <c r="O1264" s="19"/>
      <c r="P1264" s="19"/>
      <c r="Q1264" s="19"/>
      <c r="R1264" s="19">
        <v>0</v>
      </c>
      <c r="S1264" s="19"/>
      <c r="T1264" s="19"/>
      <c r="U1264" s="19"/>
      <c r="V1264" s="19"/>
      <c r="W1264" s="19"/>
      <c r="X1264" s="19"/>
      <c r="Y1264" s="19">
        <f t="shared" si="238"/>
        <v>13000</v>
      </c>
      <c r="Z1264" s="19">
        <f t="shared" si="239"/>
        <v>0</v>
      </c>
      <c r="AA1264" s="19"/>
      <c r="AB1264" s="19"/>
      <c r="AC1264" s="19"/>
      <c r="AD1264" s="19"/>
      <c r="AF1264" s="34"/>
      <c r="AG1264" s="34"/>
      <c r="AH1264" s="34"/>
      <c r="AI1264" s="34"/>
      <c r="AJ1264" s="34"/>
      <c r="AK1264" s="34"/>
      <c r="AL1264" s="34"/>
      <c r="AM1264" s="34"/>
      <c r="AN1264" s="34"/>
      <c r="AO1264" s="34"/>
      <c r="AP1264" s="34"/>
      <c r="AQ1264" s="34"/>
      <c r="AR1264" s="34"/>
      <c r="AS1264" s="34"/>
    </row>
    <row r="1265" spans="1:45" x14ac:dyDescent="0.2">
      <c r="C1265" s="17" t="s">
        <v>65</v>
      </c>
      <c r="D1265" s="19">
        <f>24000000/1000</f>
        <v>24000</v>
      </c>
      <c r="E1265" s="19"/>
      <c r="F1265" s="19"/>
      <c r="G1265" s="19"/>
      <c r="H1265" s="19">
        <f>24000000/1000</f>
        <v>24000</v>
      </c>
      <c r="I1265" s="19"/>
      <c r="J1265" s="19"/>
      <c r="K1265" s="19"/>
      <c r="L1265" s="19"/>
      <c r="M1265" s="19"/>
      <c r="N1265" s="19"/>
      <c r="O1265" s="19"/>
      <c r="P1265" s="19"/>
      <c r="Q1265" s="19"/>
      <c r="R1265" s="19">
        <v>0</v>
      </c>
      <c r="S1265" s="19"/>
      <c r="T1265" s="19"/>
      <c r="U1265" s="19"/>
      <c r="V1265" s="19"/>
      <c r="W1265" s="19"/>
      <c r="X1265" s="19"/>
      <c r="Y1265" s="19">
        <f t="shared" si="238"/>
        <v>24000</v>
      </c>
      <c r="Z1265" s="19">
        <f t="shared" si="239"/>
        <v>0</v>
      </c>
      <c r="AA1265" s="19"/>
      <c r="AB1265" s="19"/>
      <c r="AC1265" s="19"/>
      <c r="AD1265" s="19"/>
      <c r="AF1265" s="34"/>
      <c r="AG1265" s="34"/>
      <c r="AH1265" s="34"/>
      <c r="AI1265" s="34"/>
      <c r="AJ1265" s="34"/>
      <c r="AK1265" s="34"/>
      <c r="AL1265" s="34"/>
      <c r="AM1265" s="34"/>
      <c r="AN1265" s="34"/>
      <c r="AO1265" s="34"/>
      <c r="AP1265" s="34"/>
      <c r="AQ1265" s="34"/>
      <c r="AR1265" s="34"/>
      <c r="AS1265" s="34"/>
    </row>
    <row r="1266" spans="1:45" x14ac:dyDescent="0.2">
      <c r="A1266" s="18"/>
      <c r="C1266" s="3" t="s">
        <v>52</v>
      </c>
      <c r="D1266" s="19">
        <f>1793593/1000</f>
        <v>1793.5930000000001</v>
      </c>
      <c r="E1266" s="19">
        <f>[1]TOBEPAID!E965/1000</f>
        <v>1793.5930000000001</v>
      </c>
      <c r="F1266" s="19">
        <f>[1]TOBEPAID!F965/1000</f>
        <v>0</v>
      </c>
      <c r="G1266" s="19">
        <f>[1]TOBEPAID!G965/1000</f>
        <v>0</v>
      </c>
      <c r="H1266" s="19">
        <f>1793593/1000</f>
        <v>1793.5930000000001</v>
      </c>
      <c r="I1266" s="19">
        <f>[1]TOBEPAID!I965/1000</f>
        <v>0</v>
      </c>
      <c r="J1266" s="19">
        <f>[1]TOBEPAID!J965/1000</f>
        <v>0</v>
      </c>
      <c r="K1266" s="19">
        <f>[1]TOBEPAID!K965/1000</f>
        <v>0</v>
      </c>
      <c r="L1266" s="19">
        <f>[1]TOBEPAID!L965/1000</f>
        <v>0</v>
      </c>
      <c r="M1266" s="19">
        <f>[1]TOBEPAID!M965/1000</f>
        <v>0</v>
      </c>
      <c r="N1266" s="19">
        <f>[1]TOBEPAID!N965/1000</f>
        <v>1793.5930000000001</v>
      </c>
      <c r="O1266" s="19">
        <f>[1]TOBEPAID!O965/1000</f>
        <v>0</v>
      </c>
      <c r="P1266" s="19">
        <f>[1]TOBEPAID!P965/1000</f>
        <v>0</v>
      </c>
      <c r="Q1266" s="19">
        <f>[1]TOBEPAID!Q965/1000</f>
        <v>0</v>
      </c>
      <c r="R1266" s="19">
        <v>0</v>
      </c>
      <c r="S1266" s="19">
        <f>[1]TOBEPAID!S965/1000</f>
        <v>0</v>
      </c>
      <c r="T1266" s="19">
        <f>[1]TOBEPAID!T965/1000</f>
        <v>0</v>
      </c>
      <c r="U1266" s="19">
        <f>[1]TOBEPAID!U965/1000</f>
        <v>0</v>
      </c>
      <c r="V1266" s="19">
        <f>[1]TOBEPAID!V965/1000</f>
        <v>0</v>
      </c>
      <c r="W1266" s="19">
        <f>[1]TOBEPAID!W965/1000</f>
        <v>0</v>
      </c>
      <c r="X1266" s="19">
        <f>[1]TOBEPAID!X965/1000</f>
        <v>0</v>
      </c>
      <c r="Y1266" s="19">
        <f t="shared" si="238"/>
        <v>1793.5930000000001</v>
      </c>
      <c r="Z1266" s="19">
        <f t="shared" si="239"/>
        <v>0</v>
      </c>
      <c r="AA1266" s="19">
        <f>[1]TOBEPAID!AA965/1000</f>
        <v>1793.5930000000001</v>
      </c>
      <c r="AB1266" s="19">
        <f>[1]TOBEPAID!AB965/1000</f>
        <v>0</v>
      </c>
      <c r="AC1266" s="19"/>
      <c r="AD1266" s="19"/>
      <c r="AE1266" s="25" t="s">
        <v>55</v>
      </c>
      <c r="AF1266" s="34">
        <f t="shared" ref="AF1266:AH1267" si="240">+D1221</f>
        <v>8339.9979199999998</v>
      </c>
      <c r="AG1266" s="34">
        <f t="shared" si="240"/>
        <v>8339.9979199999998</v>
      </c>
      <c r="AH1266" s="34">
        <f t="shared" si="240"/>
        <v>0</v>
      </c>
      <c r="AI1266" s="34">
        <f>+AG1266+AH1266</f>
        <v>8339.9979199999998</v>
      </c>
      <c r="AJ1266" s="34">
        <f>+L1221</f>
        <v>0</v>
      </c>
      <c r="AK1266" s="34">
        <f>+AI1266+AJ1266</f>
        <v>8339.9979199999998</v>
      </c>
      <c r="AL1266" s="34">
        <f>+O1221</f>
        <v>0</v>
      </c>
      <c r="AM1266" s="34">
        <f>+P1221</f>
        <v>0</v>
      </c>
      <c r="AN1266" s="34">
        <f>+AL1266+AM1266</f>
        <v>0</v>
      </c>
      <c r="AO1266" s="34">
        <f>+V1221</f>
        <v>0</v>
      </c>
      <c r="AP1266" s="34">
        <f>+AN1266+AO1266</f>
        <v>0</v>
      </c>
      <c r="AQ1266" s="34">
        <f>+AI1266+AN1266</f>
        <v>8339.9979199999998</v>
      </c>
      <c r="AR1266" s="34">
        <f>+AF1266-AQ1266</f>
        <v>0</v>
      </c>
      <c r="AS1266" s="34">
        <f>+AF1267-AK1267-AP1267</f>
        <v>-2.399999998488056E-4</v>
      </c>
    </row>
    <row r="1267" spans="1:45" x14ac:dyDescent="0.2">
      <c r="A1267" s="18"/>
      <c r="D1267" s="21" t="s">
        <v>57</v>
      </c>
      <c r="E1267" s="21" t="s">
        <v>57</v>
      </c>
      <c r="F1267" s="21" t="s">
        <v>57</v>
      </c>
      <c r="G1267" s="21"/>
      <c r="H1267" s="21" t="s">
        <v>57</v>
      </c>
      <c r="I1267" s="21" t="s">
        <v>57</v>
      </c>
      <c r="J1267" s="21" t="s">
        <v>57</v>
      </c>
      <c r="K1267" s="21" t="s">
        <v>57</v>
      </c>
      <c r="L1267" s="21" t="s">
        <v>57</v>
      </c>
      <c r="M1267" s="21"/>
      <c r="N1267" s="21" t="s">
        <v>57</v>
      </c>
      <c r="O1267" s="21" t="s">
        <v>57</v>
      </c>
      <c r="P1267" s="21" t="s">
        <v>57</v>
      </c>
      <c r="Q1267" s="21"/>
      <c r="R1267" s="21" t="s">
        <v>57</v>
      </c>
      <c r="S1267" s="21" t="s">
        <v>57</v>
      </c>
      <c r="T1267" s="21" t="s">
        <v>57</v>
      </c>
      <c r="U1267" s="21" t="s">
        <v>57</v>
      </c>
      <c r="V1267" s="21" t="s">
        <v>57</v>
      </c>
      <c r="W1267" s="21"/>
      <c r="X1267" s="21" t="s">
        <v>57</v>
      </c>
      <c r="Y1267" s="21" t="s">
        <v>57</v>
      </c>
      <c r="Z1267" s="21" t="s">
        <v>57</v>
      </c>
      <c r="AA1267" s="21" t="s">
        <v>57</v>
      </c>
      <c r="AB1267" s="21" t="s">
        <v>57</v>
      </c>
      <c r="AC1267" s="21"/>
      <c r="AD1267" s="21"/>
      <c r="AE1267" s="25" t="s">
        <v>256</v>
      </c>
      <c r="AF1267" s="34">
        <f t="shared" si="240"/>
        <v>2165.2130000000002</v>
      </c>
      <c r="AG1267" s="34">
        <f t="shared" si="240"/>
        <v>0</v>
      </c>
      <c r="AH1267" s="34">
        <f t="shared" si="240"/>
        <v>0</v>
      </c>
      <c r="AI1267" s="34">
        <f>+AG1267+AH1267</f>
        <v>0</v>
      </c>
      <c r="AJ1267" s="34">
        <f>+L1222</f>
        <v>0</v>
      </c>
      <c r="AK1267" s="34">
        <f>+AI1267+AJ1267</f>
        <v>0</v>
      </c>
      <c r="AL1267" s="34">
        <f>+O1222</f>
        <v>2165.21324</v>
      </c>
      <c r="AM1267" s="34">
        <f>+P1222</f>
        <v>0</v>
      </c>
      <c r="AN1267" s="34">
        <f>+AL1267+AM1267</f>
        <v>2165.21324</v>
      </c>
      <c r="AO1267" s="34">
        <f>+V1222</f>
        <v>0</v>
      </c>
      <c r="AP1267" s="34">
        <f>+AN1267+AO1267</f>
        <v>2165.21324</v>
      </c>
      <c r="AQ1267" s="34">
        <f>+AI1267+AN1267</f>
        <v>2165.21324</v>
      </c>
      <c r="AR1267" s="34">
        <f>+AF1267-AQ1267</f>
        <v>-2.399999998488056E-4</v>
      </c>
      <c r="AS1267" s="34">
        <f>+AF1268-AK1268-AP1268</f>
        <v>0.24037999999973181</v>
      </c>
    </row>
    <row r="1268" spans="1:45" x14ac:dyDescent="0.2">
      <c r="A1268" s="18"/>
      <c r="D1268" s="30">
        <f>SUM(D1260:D1266)</f>
        <v>576311.48199999996</v>
      </c>
      <c r="E1268" s="30">
        <f>SUM(E1260:E1266)</f>
        <v>11793.593000000001</v>
      </c>
      <c r="F1268" s="30">
        <f>SUM(F1260:F1266)</f>
        <v>0</v>
      </c>
      <c r="G1268" s="30"/>
      <c r="H1268" s="30">
        <f>SUM(H1260:H1266)</f>
        <v>341099.14299999998</v>
      </c>
      <c r="I1268" s="30">
        <f>SUM(I1260:I1266)</f>
        <v>0</v>
      </c>
      <c r="J1268" s="30">
        <f>SUM(J1260:J1266)</f>
        <v>0</v>
      </c>
      <c r="K1268" s="30">
        <f>SUM(K1260:K1266)</f>
        <v>0</v>
      </c>
      <c r="L1268" s="30">
        <f>SUM(L1260:L1266)</f>
        <v>0</v>
      </c>
      <c r="M1268" s="30"/>
      <c r="N1268" s="30">
        <f>SUM(N1260:N1266)</f>
        <v>11793.593000000001</v>
      </c>
      <c r="O1268" s="30">
        <f>SUM(O1260:O1266)</f>
        <v>407.18637000000001</v>
      </c>
      <c r="P1268" s="30">
        <f>SUM(P1260:P1266)</f>
        <v>0</v>
      </c>
      <c r="Q1268" s="30"/>
      <c r="R1268" s="30">
        <f>SUM(R1260:R1266)</f>
        <v>407.18599999999998</v>
      </c>
      <c r="S1268" s="30">
        <f>SUM(S1260:S1266)</f>
        <v>0</v>
      </c>
      <c r="T1268" s="30">
        <f>SUM(T1260:T1266)</f>
        <v>0</v>
      </c>
      <c r="U1268" s="30">
        <f>SUM(U1260:U1266)</f>
        <v>0</v>
      </c>
      <c r="V1268" s="30">
        <f>SUM(V1260:V1266)</f>
        <v>0</v>
      </c>
      <c r="W1268" s="30"/>
      <c r="X1268" s="30">
        <f>SUM(X1260:X1266)</f>
        <v>407.18637000000001</v>
      </c>
      <c r="Y1268" s="30">
        <f>SUM(Y1260:Y1266)</f>
        <v>341506.32899999997</v>
      </c>
      <c r="Z1268" s="30">
        <f>SUM(Z1260:Z1266)</f>
        <v>234805.15299999999</v>
      </c>
      <c r="AA1268" s="30">
        <f>SUM(AA1260:AA1266)</f>
        <v>12200.77937</v>
      </c>
      <c r="AB1268" s="30">
        <f>SUM(AB1260:AB1266)</f>
        <v>56645.197340000006</v>
      </c>
      <c r="AC1268" s="30"/>
      <c r="AD1268" s="30"/>
      <c r="AE1268" s="25" t="s">
        <v>354</v>
      </c>
      <c r="AF1268" s="34">
        <f>+D1246</f>
        <v>2360</v>
      </c>
      <c r="AG1268" s="34">
        <f>+E1246</f>
        <v>2359.7596200000003</v>
      </c>
      <c r="AH1268" s="34">
        <f>+F1246</f>
        <v>0</v>
      </c>
      <c r="AI1268" s="34">
        <f>+AG1268+AH1268</f>
        <v>2359.7596200000003</v>
      </c>
      <c r="AJ1268" s="34">
        <f>+L1246</f>
        <v>0</v>
      </c>
      <c r="AK1268" s="34">
        <f>+AI1268+AJ1268</f>
        <v>2359.7596200000003</v>
      </c>
      <c r="AL1268" s="34">
        <f>+O1246</f>
        <v>0</v>
      </c>
      <c r="AM1268" s="34">
        <f>+P1246</f>
        <v>0</v>
      </c>
      <c r="AN1268" s="34">
        <f>+AL1268+AM1268</f>
        <v>0</v>
      </c>
      <c r="AO1268" s="34">
        <f>+V1246</f>
        <v>0</v>
      </c>
      <c r="AP1268" s="34">
        <f>+AN1268+AO1268</f>
        <v>0</v>
      </c>
      <c r="AQ1268" s="34">
        <f>+AI1268+AN1268</f>
        <v>2359.7596200000003</v>
      </c>
      <c r="AR1268" s="34">
        <f>+AF1268-AQ1268</f>
        <v>0.24037999999973181</v>
      </c>
      <c r="AS1268" s="34">
        <f>SUM(AS1238:AS1267)</f>
        <v>546601.49146000005</v>
      </c>
    </row>
    <row r="1269" spans="1:45" x14ac:dyDescent="0.2">
      <c r="A1269" s="18"/>
      <c r="D1269" s="21" t="s">
        <v>57</v>
      </c>
      <c r="E1269" s="21" t="s">
        <v>57</v>
      </c>
      <c r="F1269" s="21" t="s">
        <v>57</v>
      </c>
      <c r="G1269" s="21"/>
      <c r="H1269" s="21" t="s">
        <v>57</v>
      </c>
      <c r="I1269" s="21" t="s">
        <v>57</v>
      </c>
      <c r="J1269" s="21" t="s">
        <v>57</v>
      </c>
      <c r="K1269" s="21" t="s">
        <v>57</v>
      </c>
      <c r="L1269" s="21" t="s">
        <v>57</v>
      </c>
      <c r="M1269" s="21"/>
      <c r="N1269" s="21" t="s">
        <v>57</v>
      </c>
      <c r="O1269" s="21" t="s">
        <v>57</v>
      </c>
      <c r="P1269" s="21" t="s">
        <v>57</v>
      </c>
      <c r="Q1269" s="21"/>
      <c r="R1269" s="21" t="s">
        <v>57</v>
      </c>
      <c r="S1269" s="21" t="s">
        <v>57</v>
      </c>
      <c r="T1269" s="21" t="s">
        <v>57</v>
      </c>
      <c r="U1269" s="21" t="s">
        <v>57</v>
      </c>
      <c r="V1269" s="21" t="s">
        <v>57</v>
      </c>
      <c r="W1269" s="21"/>
      <c r="X1269" s="21" t="s">
        <v>57</v>
      </c>
      <c r="Y1269" s="21" t="s">
        <v>57</v>
      </c>
      <c r="Z1269" s="21" t="s">
        <v>57</v>
      </c>
      <c r="AA1269" s="21" t="s">
        <v>57</v>
      </c>
      <c r="AB1269" s="21" t="s">
        <v>57</v>
      </c>
      <c r="AC1269" s="21"/>
      <c r="AD1269" s="21"/>
      <c r="AE1269" s="25" t="s">
        <v>355</v>
      </c>
      <c r="AF1269" s="34">
        <f t="shared" ref="AF1269:AR1269" si="241">SUM(AF1239:AF1268)</f>
        <v>634771.04183999996</v>
      </c>
      <c r="AG1269" s="34">
        <f t="shared" si="241"/>
        <v>32683.62916</v>
      </c>
      <c r="AH1269" s="34">
        <f t="shared" si="241"/>
        <v>0</v>
      </c>
      <c r="AI1269" s="34">
        <f t="shared" si="241"/>
        <v>32683.62916</v>
      </c>
      <c r="AJ1269" s="34">
        <f t="shared" si="241"/>
        <v>0</v>
      </c>
      <c r="AK1269" s="34">
        <f t="shared" si="241"/>
        <v>32683.62916</v>
      </c>
      <c r="AL1269" s="34">
        <f t="shared" si="241"/>
        <v>54613.402359999993</v>
      </c>
      <c r="AM1269" s="34">
        <f t="shared" si="241"/>
        <v>872.51886000000002</v>
      </c>
      <c r="AN1269" s="34">
        <f t="shared" si="241"/>
        <v>55485.921219999989</v>
      </c>
      <c r="AO1269" s="34">
        <f t="shared" si="241"/>
        <v>0</v>
      </c>
      <c r="AP1269" s="34">
        <f t="shared" si="241"/>
        <v>55485.921219999989</v>
      </c>
      <c r="AQ1269" s="34">
        <f t="shared" si="241"/>
        <v>88169.550379999986</v>
      </c>
      <c r="AR1269" s="34">
        <f t="shared" si="241"/>
        <v>546601.49146000005</v>
      </c>
      <c r="AS1269" s="34"/>
    </row>
    <row r="1270" spans="1:45" x14ac:dyDescent="0.2">
      <c r="A1270" s="18"/>
      <c r="B1270" s="41" t="s">
        <v>121</v>
      </c>
      <c r="C1270" s="41" t="s">
        <v>332</v>
      </c>
      <c r="D1270" s="35">
        <f>D1175+D1186+D1199+D1208+D1224+D1237+D1248+D1268</f>
        <v>2710512.58751</v>
      </c>
      <c r="E1270" s="35">
        <f>E1175+E1186+E1199+E1208+E1224+E1237+E1248+E1268</f>
        <v>32683.629160000004</v>
      </c>
      <c r="F1270" s="35">
        <f>F1175+F1186+F1199+F1208+F1224+F1237+F1248+F1268</f>
        <v>0</v>
      </c>
      <c r="G1270" s="35"/>
      <c r="H1270" s="35">
        <f>H1175+H1186+H1199+H1208+H1224+H1237+H1248+H1268</f>
        <v>2044929.7422999998</v>
      </c>
      <c r="I1270" s="35">
        <f>I1175+I1186+I1199+I1208+I1224+I1237+I1248+I1268</f>
        <v>0</v>
      </c>
      <c r="J1270" s="35">
        <f>J1175+J1186+J1199+J1208+J1224+J1237+J1248+J1268</f>
        <v>0</v>
      </c>
      <c r="K1270" s="35">
        <f>K1175+K1186+K1199+K1208+K1224+K1237+K1248+K1268</f>
        <v>0</v>
      </c>
      <c r="L1270" s="35">
        <f>L1175+L1186+L1199+L1208+L1224+L1237+L1248+L1268</f>
        <v>0</v>
      </c>
      <c r="M1270" s="35"/>
      <c r="N1270" s="35">
        <f>N1175+N1186+N1199+N1208+N1224+N1237+N1248+N1268</f>
        <v>32683.629160000004</v>
      </c>
      <c r="O1270" s="35">
        <f>O1175+O1186+O1199+O1208+O1224+O1237+O1248+O1268</f>
        <v>54613.40236</v>
      </c>
      <c r="P1270" s="35">
        <f>P1175+P1186+P1199+P1208+P1224+P1237+P1248+P1268</f>
        <v>872.51886000000002</v>
      </c>
      <c r="Q1270" s="35"/>
      <c r="R1270" s="35">
        <f>R1175+R1186+R1199+R1208+R1224+R1237+R1248+R1268</f>
        <v>58814.653320000005</v>
      </c>
      <c r="S1270" s="35">
        <f>S1175+S1186+S1199+S1208+S1224+S1237+S1248+S1268</f>
        <v>0</v>
      </c>
      <c r="T1270" s="35">
        <f>T1175+T1186+T1199+T1208+T1224+T1237+T1248+T1268</f>
        <v>0</v>
      </c>
      <c r="U1270" s="35">
        <f>U1175+U1186+U1199+U1208+U1224+U1237+U1248+U1268</f>
        <v>0</v>
      </c>
      <c r="V1270" s="35">
        <f>V1175+V1186+V1199+V1208+V1224+V1237+V1248+V1268</f>
        <v>0</v>
      </c>
      <c r="W1270" s="35"/>
      <c r="X1270" s="35">
        <f>X1175+X1186+X1199+X1208+X1224+X1237+X1248+X1268</f>
        <v>55485.921219999997</v>
      </c>
      <c r="Y1270" s="35">
        <f>Y1175+Y1186+Y1199+Y1208+Y1224+Y1237+Y1248+Y1268</f>
        <v>2103744.3956199996</v>
      </c>
      <c r="Z1270" s="35">
        <f>Z1175+Z1186+Z1199+Z1208+Z1224+Z1237+Z1248+Z1268</f>
        <v>606768.99474999995</v>
      </c>
      <c r="AA1270" s="35">
        <f>AA1175+AA1186+AA1199+AA1208+AA1224+AA1237+AA1248+AA1268</f>
        <v>88169.550380000015</v>
      </c>
      <c r="AB1270" s="35">
        <f>AB1175+AB1186+AB1199+AB1208+AB1224+AB1237+AB1248+AB1268</f>
        <v>273169.59279999998</v>
      </c>
      <c r="AC1270" s="35"/>
      <c r="AD1270" s="35"/>
      <c r="AF1270" s="34"/>
      <c r="AG1270" s="34"/>
      <c r="AH1270" s="34"/>
      <c r="AI1270" s="34"/>
      <c r="AJ1270" s="34"/>
      <c r="AK1270" s="34"/>
      <c r="AL1270" s="34"/>
      <c r="AM1270" s="34"/>
      <c r="AN1270" s="34"/>
      <c r="AO1270" s="34"/>
      <c r="AP1270" s="34"/>
      <c r="AQ1270" s="34"/>
      <c r="AR1270" s="34"/>
      <c r="AS1270" s="34">
        <f>+AS1268-AB1270</f>
        <v>273431.89866000006</v>
      </c>
    </row>
    <row r="1271" spans="1:45" x14ac:dyDescent="0.2">
      <c r="A1271" s="18"/>
      <c r="D1271" s="21" t="s">
        <v>93</v>
      </c>
      <c r="E1271" s="21" t="s">
        <v>93</v>
      </c>
      <c r="F1271" s="21" t="s">
        <v>93</v>
      </c>
      <c r="G1271" s="21"/>
      <c r="H1271" s="21" t="s">
        <v>93</v>
      </c>
      <c r="I1271" s="21" t="s">
        <v>93</v>
      </c>
      <c r="J1271" s="21" t="s">
        <v>93</v>
      </c>
      <c r="K1271" s="21" t="s">
        <v>93</v>
      </c>
      <c r="L1271" s="21" t="s">
        <v>93</v>
      </c>
      <c r="M1271" s="21"/>
      <c r="N1271" s="21" t="s">
        <v>93</v>
      </c>
      <c r="O1271" s="21" t="s">
        <v>93</v>
      </c>
      <c r="P1271" s="21" t="s">
        <v>93</v>
      </c>
      <c r="Q1271" s="21"/>
      <c r="R1271" s="21" t="s">
        <v>93</v>
      </c>
      <c r="S1271" s="21" t="s">
        <v>93</v>
      </c>
      <c r="T1271" s="21" t="s">
        <v>93</v>
      </c>
      <c r="U1271" s="21" t="s">
        <v>93</v>
      </c>
      <c r="V1271" s="21" t="s">
        <v>93</v>
      </c>
      <c r="W1271" s="21"/>
      <c r="X1271" s="21" t="s">
        <v>93</v>
      </c>
      <c r="Y1271" s="21" t="s">
        <v>93</v>
      </c>
      <c r="Z1271" s="21" t="s">
        <v>93</v>
      </c>
      <c r="AA1271" s="21" t="s">
        <v>93</v>
      </c>
      <c r="AB1271" s="21" t="s">
        <v>93</v>
      </c>
      <c r="AC1271" s="21"/>
      <c r="AD1271" s="21"/>
      <c r="AF1271" s="34"/>
      <c r="AG1271" s="34"/>
      <c r="AH1271" s="34"/>
      <c r="AI1271" s="34"/>
      <c r="AJ1271" s="34"/>
      <c r="AK1271" s="34"/>
      <c r="AL1271" s="34"/>
      <c r="AM1271" s="34"/>
      <c r="AN1271" s="34"/>
      <c r="AO1271" s="34"/>
      <c r="AP1271" s="34"/>
      <c r="AQ1271" s="34"/>
      <c r="AR1271" s="34"/>
      <c r="AS1271" s="34"/>
    </row>
    <row r="1272" spans="1:45" x14ac:dyDescent="0.2">
      <c r="A1272" s="18"/>
      <c r="C1272" s="25"/>
      <c r="D1272" s="30"/>
      <c r="E1272" s="35"/>
      <c r="F1272" s="21"/>
      <c r="G1272" s="21"/>
      <c r="H1272" s="35"/>
      <c r="I1272" s="21"/>
      <c r="J1272" s="21"/>
      <c r="K1272" s="21"/>
      <c r="L1272" s="21"/>
      <c r="M1272" s="21"/>
      <c r="N1272" s="21"/>
      <c r="O1272" s="35"/>
      <c r="P1272" s="21"/>
      <c r="Q1272" s="21"/>
      <c r="R1272" s="35"/>
      <c r="S1272" s="35"/>
      <c r="T1272" s="35"/>
      <c r="U1272" s="35"/>
      <c r="V1272" s="35"/>
      <c r="W1272" s="35"/>
      <c r="X1272" s="35"/>
      <c r="Y1272" s="35"/>
      <c r="Z1272" s="35"/>
      <c r="AA1272" s="21"/>
      <c r="AB1272" s="21"/>
      <c r="AC1272" s="21"/>
      <c r="AD1272" s="21"/>
      <c r="AF1272" s="34"/>
      <c r="AG1272" s="34"/>
      <c r="AH1272" s="34"/>
      <c r="AI1272" s="34"/>
      <c r="AJ1272" s="34"/>
      <c r="AK1272" s="34"/>
      <c r="AL1272" s="34"/>
      <c r="AM1272" s="34"/>
      <c r="AN1272" s="34"/>
      <c r="AO1272" s="34"/>
      <c r="AP1272" s="34"/>
      <c r="AQ1272" s="34"/>
      <c r="AR1272" s="34"/>
      <c r="AS1272" s="34"/>
    </row>
    <row r="1273" spans="1:45" ht="18" x14ac:dyDescent="0.25">
      <c r="A1273" s="18"/>
      <c r="B1273" s="1" t="s">
        <v>356</v>
      </c>
      <c r="D1273" s="21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  <c r="Q1273" s="21"/>
      <c r="R1273" s="21"/>
      <c r="S1273" s="21"/>
      <c r="T1273" s="21"/>
      <c r="U1273" s="21"/>
      <c r="V1273" s="21"/>
      <c r="W1273" s="21"/>
      <c r="X1273" s="21"/>
      <c r="Y1273" s="21"/>
      <c r="Z1273" s="21"/>
      <c r="AA1273" s="21"/>
      <c r="AB1273" s="21"/>
      <c r="AC1273" s="21"/>
      <c r="AD1273" s="21"/>
      <c r="AF1273" s="34"/>
      <c r="AG1273" s="34"/>
      <c r="AH1273" s="34"/>
      <c r="AI1273" s="34"/>
      <c r="AJ1273" s="34"/>
      <c r="AK1273" s="34"/>
      <c r="AL1273" s="34"/>
      <c r="AM1273" s="34"/>
      <c r="AN1273" s="34"/>
      <c r="AO1273" s="34"/>
      <c r="AP1273" s="34"/>
      <c r="AQ1273" s="34"/>
      <c r="AR1273" s="34"/>
      <c r="AS1273" s="34"/>
    </row>
    <row r="1274" spans="1:45" x14ac:dyDescent="0.2">
      <c r="A1274" s="18"/>
      <c r="D1274" s="21"/>
      <c r="E1274" s="21"/>
      <c r="F1274" s="21"/>
      <c r="G1274" s="21"/>
      <c r="H1274" s="19"/>
      <c r="I1274" s="21"/>
      <c r="J1274" s="21"/>
      <c r="K1274" s="21"/>
      <c r="L1274" s="21"/>
      <c r="M1274" s="21"/>
      <c r="N1274" s="19"/>
      <c r="O1274" s="21"/>
      <c r="P1274" s="21"/>
      <c r="Q1274" s="21"/>
      <c r="R1274" s="19"/>
      <c r="S1274" s="21"/>
      <c r="T1274" s="21"/>
      <c r="U1274" s="21"/>
      <c r="V1274" s="21"/>
      <c r="W1274" s="21"/>
      <c r="X1274" s="19"/>
      <c r="Y1274" s="19"/>
      <c r="Z1274" s="19"/>
      <c r="AA1274" s="19"/>
      <c r="AB1274" s="19"/>
      <c r="AC1274" s="19"/>
      <c r="AD1274" s="19"/>
      <c r="AF1274" s="34"/>
      <c r="AG1274" s="34"/>
      <c r="AH1274" s="34"/>
      <c r="AI1274" s="34"/>
      <c r="AJ1274" s="34"/>
      <c r="AK1274" s="34"/>
      <c r="AL1274" s="34"/>
      <c r="AM1274" s="34"/>
      <c r="AN1274" s="34"/>
      <c r="AO1274" s="34"/>
      <c r="AP1274" s="34"/>
      <c r="AQ1274" s="34"/>
      <c r="AR1274" s="34"/>
      <c r="AS1274" s="34"/>
    </row>
    <row r="1275" spans="1:45" x14ac:dyDescent="0.2">
      <c r="A1275" s="18">
        <v>100</v>
      </c>
      <c r="B1275" s="3" t="s">
        <v>357</v>
      </c>
      <c r="C1275" s="17" t="s">
        <v>51</v>
      </c>
      <c r="D1275" s="19">
        <f>72307888/1000</f>
        <v>72307.888000000006</v>
      </c>
      <c r="E1275" s="19">
        <f>[1]TOBEPAID!E974/1000</f>
        <v>0</v>
      </c>
      <c r="F1275" s="19">
        <f>[1]TOBEPAID!F974/1000</f>
        <v>0</v>
      </c>
      <c r="G1275" s="19">
        <f>[1]TOBEPAID!G974/1000</f>
        <v>0</v>
      </c>
      <c r="H1275" s="19">
        <f>73924188/1000</f>
        <v>73924.187999999995</v>
      </c>
      <c r="I1275" s="19">
        <f>[1]TOBEPAID!I974/1000</f>
        <v>0</v>
      </c>
      <c r="J1275" s="19">
        <f>[1]TOBEPAID!J974/1000</f>
        <v>0</v>
      </c>
      <c r="K1275" s="19">
        <f>[1]TOBEPAID!K974/1000</f>
        <v>0</v>
      </c>
      <c r="L1275" s="19">
        <f>[1]TOBEPAID!L974/1000</f>
        <v>0</v>
      </c>
      <c r="M1275" s="19">
        <f>[1]TOBEPAID!M974/1000</f>
        <v>0</v>
      </c>
      <c r="N1275" s="19">
        <f>[1]TOBEPAID!N974/1000</f>
        <v>0</v>
      </c>
      <c r="O1275" s="19">
        <f>[1]TOBEPAID!O974/1000</f>
        <v>0</v>
      </c>
      <c r="P1275" s="19">
        <f>[1]TOBEPAID!P974/1000</f>
        <v>0</v>
      </c>
      <c r="Q1275" s="19">
        <f>[1]TOBEPAID!Q974/1000</f>
        <v>0</v>
      </c>
      <c r="R1275" s="19">
        <v>0</v>
      </c>
      <c r="S1275" s="19">
        <f>[1]TOBEPAID!S974/1000</f>
        <v>0</v>
      </c>
      <c r="T1275" s="19">
        <f>[1]TOBEPAID!T974/1000</f>
        <v>0</v>
      </c>
      <c r="U1275" s="19">
        <f>[1]TOBEPAID!U974/1000</f>
        <v>0</v>
      </c>
      <c r="V1275" s="19">
        <f>[1]TOBEPAID!V974/1000</f>
        <v>0</v>
      </c>
      <c r="W1275" s="19">
        <f>[1]TOBEPAID!W974/1000</f>
        <v>0</v>
      </c>
      <c r="X1275" s="19">
        <f>[1]TOBEPAID!X974/1000</f>
        <v>0</v>
      </c>
      <c r="Y1275" s="19">
        <f t="shared" ref="Y1275:Y1284" si="242">+H1275+R1275</f>
        <v>73924.187999999995</v>
      </c>
      <c r="Z1275" s="19">
        <f t="shared" ref="Z1275:Z1284" si="243">+D1275-Y1275</f>
        <v>-1616.2999999999884</v>
      </c>
      <c r="AA1275" s="19">
        <f>[1]TOBEPAID!AA974/1000</f>
        <v>0</v>
      </c>
      <c r="AB1275" s="19">
        <f>[1]TOBEPAID!AB974/1000</f>
        <v>36888.563280000002</v>
      </c>
      <c r="AC1275" s="19" t="s">
        <v>116</v>
      </c>
      <c r="AD1275" s="19"/>
      <c r="AF1275" s="34"/>
      <c r="AG1275" s="34"/>
      <c r="AH1275" s="34"/>
      <c r="AI1275" s="34"/>
      <c r="AJ1275" s="34"/>
      <c r="AK1275" s="34"/>
      <c r="AL1275" s="34"/>
      <c r="AM1275" s="34"/>
      <c r="AN1275" s="34"/>
      <c r="AO1275" s="34"/>
      <c r="AP1275" s="34"/>
      <c r="AQ1275" s="34"/>
      <c r="AR1275" s="34"/>
      <c r="AS1275" s="34"/>
    </row>
    <row r="1276" spans="1:45" x14ac:dyDescent="0.2">
      <c r="A1276" s="18"/>
      <c r="C1276" s="17" t="s">
        <v>271</v>
      </c>
      <c r="D1276" s="19">
        <f>11770518/1000</f>
        <v>11770.518</v>
      </c>
      <c r="E1276" s="19"/>
      <c r="F1276" s="19"/>
      <c r="G1276" s="19"/>
      <c r="H1276" s="19">
        <f>11770518/1000</f>
        <v>11770.518</v>
      </c>
      <c r="I1276" s="19"/>
      <c r="J1276" s="19"/>
      <c r="K1276" s="19"/>
      <c r="L1276" s="19"/>
      <c r="M1276" s="19"/>
      <c r="N1276" s="19"/>
      <c r="O1276" s="19"/>
      <c r="P1276" s="19"/>
      <c r="Q1276" s="19"/>
      <c r="R1276" s="19">
        <v>0</v>
      </c>
      <c r="S1276" s="19"/>
      <c r="T1276" s="19"/>
      <c r="U1276" s="19"/>
      <c r="V1276" s="19"/>
      <c r="W1276" s="19"/>
      <c r="X1276" s="19"/>
      <c r="Y1276" s="19">
        <f t="shared" si="242"/>
        <v>11770.518</v>
      </c>
      <c r="Z1276" s="19">
        <f t="shared" si="243"/>
        <v>0</v>
      </c>
      <c r="AA1276" s="19"/>
      <c r="AB1276" s="19"/>
      <c r="AC1276" s="19"/>
      <c r="AD1276" s="19"/>
      <c r="AF1276" s="34"/>
      <c r="AG1276" s="34"/>
      <c r="AH1276" s="34"/>
      <c r="AI1276" s="34"/>
      <c r="AJ1276" s="34"/>
      <c r="AK1276" s="34"/>
      <c r="AL1276" s="34"/>
      <c r="AM1276" s="34"/>
      <c r="AN1276" s="34"/>
      <c r="AO1276" s="34"/>
      <c r="AP1276" s="34"/>
      <c r="AQ1276" s="34"/>
      <c r="AR1276" s="34"/>
      <c r="AS1276" s="34"/>
    </row>
    <row r="1277" spans="1:45" x14ac:dyDescent="0.2">
      <c r="A1277" s="18"/>
      <c r="C1277" s="17" t="s">
        <v>63</v>
      </c>
      <c r="D1277" s="19">
        <f>12000000/1000</f>
        <v>12000</v>
      </c>
      <c r="E1277" s="19"/>
      <c r="F1277" s="19"/>
      <c r="G1277" s="19"/>
      <c r="H1277" s="19">
        <f>12000000/1000</f>
        <v>12000</v>
      </c>
      <c r="I1277" s="19"/>
      <c r="J1277" s="19"/>
      <c r="K1277" s="19"/>
      <c r="L1277" s="19"/>
      <c r="M1277" s="19"/>
      <c r="N1277" s="19"/>
      <c r="O1277" s="19"/>
      <c r="P1277" s="19"/>
      <c r="Q1277" s="19"/>
      <c r="R1277" s="19">
        <v>0</v>
      </c>
      <c r="S1277" s="19"/>
      <c r="T1277" s="19"/>
      <c r="U1277" s="19"/>
      <c r="V1277" s="19"/>
      <c r="W1277" s="19"/>
      <c r="X1277" s="19"/>
      <c r="Y1277" s="19">
        <f t="shared" si="242"/>
        <v>12000</v>
      </c>
      <c r="Z1277" s="19">
        <f t="shared" si="243"/>
        <v>0</v>
      </c>
      <c r="AA1277" s="19"/>
      <c r="AB1277" s="19"/>
      <c r="AC1277" s="19"/>
      <c r="AD1277" s="19"/>
      <c r="AF1277" s="34"/>
      <c r="AG1277" s="34"/>
      <c r="AH1277" s="34"/>
      <c r="AI1277" s="34"/>
      <c r="AJ1277" s="34"/>
      <c r="AK1277" s="34"/>
      <c r="AL1277" s="34"/>
      <c r="AM1277" s="34"/>
      <c r="AN1277" s="34"/>
      <c r="AO1277" s="34"/>
      <c r="AP1277" s="34"/>
      <c r="AQ1277" s="34"/>
      <c r="AR1277" s="34"/>
      <c r="AS1277" s="34"/>
    </row>
    <row r="1278" spans="1:45" x14ac:dyDescent="0.2">
      <c r="A1278" s="18"/>
      <c r="C1278" s="17" t="s">
        <v>64</v>
      </c>
      <c r="D1278" s="19">
        <f>12000000/1000</f>
        <v>12000</v>
      </c>
      <c r="E1278" s="19"/>
      <c r="F1278" s="19"/>
      <c r="G1278" s="19"/>
      <c r="H1278" s="19">
        <f>12000000/1000</f>
        <v>12000</v>
      </c>
      <c r="I1278" s="19"/>
      <c r="J1278" s="19"/>
      <c r="K1278" s="19"/>
      <c r="L1278" s="19"/>
      <c r="M1278" s="19"/>
      <c r="N1278" s="19"/>
      <c r="O1278" s="19"/>
      <c r="P1278" s="19"/>
      <c r="Q1278" s="19"/>
      <c r="R1278" s="19">
        <v>0</v>
      </c>
      <c r="S1278" s="19"/>
      <c r="T1278" s="19"/>
      <c r="U1278" s="19"/>
      <c r="V1278" s="19"/>
      <c r="W1278" s="19"/>
      <c r="X1278" s="19"/>
      <c r="Y1278" s="19">
        <f t="shared" si="242"/>
        <v>12000</v>
      </c>
      <c r="Z1278" s="19">
        <f t="shared" si="243"/>
        <v>0</v>
      </c>
      <c r="AA1278" s="19"/>
      <c r="AB1278" s="19"/>
      <c r="AC1278" s="19"/>
      <c r="AD1278" s="19"/>
      <c r="AF1278" s="34"/>
      <c r="AG1278" s="34"/>
      <c r="AH1278" s="34"/>
      <c r="AI1278" s="34"/>
      <c r="AJ1278" s="34"/>
      <c r="AK1278" s="34"/>
      <c r="AL1278" s="34"/>
      <c r="AM1278" s="34"/>
      <c r="AN1278" s="34"/>
      <c r="AO1278" s="34"/>
      <c r="AP1278" s="34"/>
      <c r="AQ1278" s="34"/>
      <c r="AR1278" s="34"/>
      <c r="AS1278" s="34"/>
    </row>
    <row r="1279" spans="1:45" x14ac:dyDescent="0.2">
      <c r="A1279" s="18"/>
      <c r="C1279" s="17" t="s">
        <v>64</v>
      </c>
      <c r="D1279" s="19">
        <f>12000000/1000</f>
        <v>12000</v>
      </c>
      <c r="E1279" s="19"/>
      <c r="F1279" s="19"/>
      <c r="G1279" s="19"/>
      <c r="H1279" s="19">
        <f>12000000/1000</f>
        <v>12000</v>
      </c>
      <c r="I1279" s="19"/>
      <c r="J1279" s="19"/>
      <c r="K1279" s="19"/>
      <c r="L1279" s="19"/>
      <c r="M1279" s="19"/>
      <c r="N1279" s="19"/>
      <c r="O1279" s="19"/>
      <c r="P1279" s="19"/>
      <c r="Q1279" s="19"/>
      <c r="R1279" s="19">
        <v>0</v>
      </c>
      <c r="S1279" s="19"/>
      <c r="T1279" s="19"/>
      <c r="U1279" s="19"/>
      <c r="V1279" s="19"/>
      <c r="W1279" s="19"/>
      <c r="X1279" s="19"/>
      <c r="Y1279" s="19">
        <f>+H1279+R1279</f>
        <v>12000</v>
      </c>
      <c r="Z1279" s="19">
        <f t="shared" si="243"/>
        <v>0</v>
      </c>
      <c r="AA1279" s="19"/>
      <c r="AB1279" s="19"/>
      <c r="AC1279" s="19"/>
      <c r="AD1279" s="19"/>
      <c r="AF1279" s="34"/>
      <c r="AG1279" s="34"/>
      <c r="AH1279" s="34"/>
      <c r="AI1279" s="34"/>
      <c r="AJ1279" s="34"/>
      <c r="AK1279" s="34"/>
      <c r="AL1279" s="34"/>
      <c r="AM1279" s="34"/>
      <c r="AN1279" s="34"/>
      <c r="AO1279" s="34"/>
      <c r="AP1279" s="34"/>
      <c r="AQ1279" s="34"/>
      <c r="AR1279" s="34"/>
      <c r="AS1279" s="34"/>
    </row>
    <row r="1280" spans="1:45" x14ac:dyDescent="0.2">
      <c r="A1280" s="18"/>
      <c r="C1280" s="17" t="s">
        <v>136</v>
      </c>
      <c r="D1280" s="19">
        <f>10153738/1000</f>
        <v>10153.737999999999</v>
      </c>
      <c r="E1280" s="19"/>
      <c r="F1280" s="19"/>
      <c r="G1280" s="19"/>
      <c r="H1280" s="19">
        <f>D1280</f>
        <v>10153.737999999999</v>
      </c>
      <c r="I1280" s="19"/>
      <c r="J1280" s="19"/>
      <c r="K1280" s="19"/>
      <c r="L1280" s="19"/>
      <c r="M1280" s="19"/>
      <c r="N1280" s="19"/>
      <c r="O1280" s="19"/>
      <c r="P1280" s="19"/>
      <c r="Q1280" s="19"/>
      <c r="R1280" s="19">
        <v>0</v>
      </c>
      <c r="S1280" s="19"/>
      <c r="T1280" s="19"/>
      <c r="U1280" s="19"/>
      <c r="V1280" s="19"/>
      <c r="W1280" s="19"/>
      <c r="X1280" s="19"/>
      <c r="Y1280" s="19">
        <f t="shared" ref="Y1280:Y1282" si="244">+H1280+R1280</f>
        <v>10153.737999999999</v>
      </c>
      <c r="Z1280" s="19">
        <f t="shared" si="243"/>
        <v>0</v>
      </c>
      <c r="AA1280" s="19"/>
      <c r="AB1280" s="19"/>
      <c r="AC1280" s="19"/>
      <c r="AD1280" s="19"/>
      <c r="AF1280" s="34"/>
      <c r="AG1280" s="34"/>
      <c r="AH1280" s="34"/>
      <c r="AI1280" s="34"/>
      <c r="AJ1280" s="34"/>
      <c r="AK1280" s="34"/>
      <c r="AL1280" s="34"/>
      <c r="AM1280" s="34"/>
      <c r="AN1280" s="34"/>
      <c r="AO1280" s="34"/>
      <c r="AP1280" s="34"/>
      <c r="AQ1280" s="34"/>
      <c r="AR1280" s="34"/>
      <c r="AS1280" s="34"/>
    </row>
    <row r="1281" spans="1:45" x14ac:dyDescent="0.2">
      <c r="A1281" s="18"/>
      <c r="C1281" s="17" t="s">
        <v>136</v>
      </c>
      <c r="D1281" s="19">
        <f>9886585/1000</f>
        <v>9886.5849999999991</v>
      </c>
      <c r="E1281" s="19"/>
      <c r="F1281" s="19"/>
      <c r="G1281" s="19"/>
      <c r="H1281" s="19">
        <f>D1281</f>
        <v>9886.5849999999991</v>
      </c>
      <c r="I1281" s="19"/>
      <c r="J1281" s="19"/>
      <c r="K1281" s="19"/>
      <c r="L1281" s="19"/>
      <c r="M1281" s="19"/>
      <c r="N1281" s="19"/>
      <c r="O1281" s="19"/>
      <c r="P1281" s="19"/>
      <c r="Q1281" s="19"/>
      <c r="R1281" s="19">
        <v>0</v>
      </c>
      <c r="S1281" s="19"/>
      <c r="T1281" s="19"/>
      <c r="U1281" s="19"/>
      <c r="V1281" s="19"/>
      <c r="W1281" s="19"/>
      <c r="X1281" s="19"/>
      <c r="Y1281" s="19">
        <f t="shared" si="244"/>
        <v>9886.5849999999991</v>
      </c>
      <c r="Z1281" s="19">
        <f t="shared" si="243"/>
        <v>0</v>
      </c>
      <c r="AA1281" s="19"/>
      <c r="AB1281" s="19"/>
      <c r="AC1281" s="19"/>
      <c r="AD1281" s="19"/>
      <c r="AF1281" s="34"/>
      <c r="AG1281" s="34"/>
      <c r="AH1281" s="34"/>
      <c r="AI1281" s="34"/>
      <c r="AJ1281" s="34"/>
      <c r="AK1281" s="34"/>
      <c r="AL1281" s="34"/>
      <c r="AM1281" s="34"/>
      <c r="AN1281" s="34"/>
      <c r="AO1281" s="34"/>
      <c r="AP1281" s="34"/>
      <c r="AQ1281" s="34"/>
      <c r="AR1281" s="34"/>
      <c r="AS1281" s="34"/>
    </row>
    <row r="1282" spans="1:45" x14ac:dyDescent="0.2">
      <c r="A1282" s="18"/>
      <c r="C1282" s="17" t="s">
        <v>136</v>
      </c>
      <c r="D1282" s="19">
        <f>7400000/1000</f>
        <v>7400</v>
      </c>
      <c r="E1282" s="19"/>
      <c r="F1282" s="19"/>
      <c r="G1282" s="19"/>
      <c r="H1282" s="19">
        <f>7400000/1000</f>
        <v>7400</v>
      </c>
      <c r="I1282" s="19"/>
      <c r="J1282" s="19"/>
      <c r="K1282" s="19"/>
      <c r="L1282" s="19"/>
      <c r="M1282" s="19"/>
      <c r="N1282" s="19"/>
      <c r="O1282" s="19"/>
      <c r="P1282" s="19"/>
      <c r="Q1282" s="19"/>
      <c r="R1282" s="19">
        <v>0</v>
      </c>
      <c r="S1282" s="19"/>
      <c r="T1282" s="19"/>
      <c r="U1282" s="19"/>
      <c r="V1282" s="19"/>
      <c r="W1282" s="19"/>
      <c r="X1282" s="19"/>
      <c r="Y1282" s="19">
        <f t="shared" si="244"/>
        <v>7400</v>
      </c>
      <c r="Z1282" s="19">
        <f t="shared" si="243"/>
        <v>0</v>
      </c>
      <c r="AA1282" s="19"/>
      <c r="AB1282" s="19"/>
      <c r="AC1282" s="19"/>
      <c r="AD1282" s="19"/>
      <c r="AF1282" s="34"/>
      <c r="AG1282" s="34"/>
      <c r="AH1282" s="34"/>
      <c r="AI1282" s="34"/>
      <c r="AJ1282" s="34"/>
      <c r="AK1282" s="34"/>
      <c r="AL1282" s="34"/>
      <c r="AM1282" s="34"/>
      <c r="AN1282" s="34"/>
      <c r="AO1282" s="34"/>
      <c r="AP1282" s="34"/>
      <c r="AQ1282" s="34"/>
      <c r="AR1282" s="34"/>
      <c r="AS1282" s="34"/>
    </row>
    <row r="1283" spans="1:45" x14ac:dyDescent="0.2">
      <c r="A1283" s="18"/>
      <c r="C1283" s="3" t="s">
        <v>87</v>
      </c>
      <c r="D1283" s="19">
        <v>0</v>
      </c>
      <c r="E1283" s="19">
        <f>[1]TOBEPAID!E975/1000</f>
        <v>0</v>
      </c>
      <c r="F1283" s="19">
        <f>[1]TOBEPAID!F975/1000</f>
        <v>0</v>
      </c>
      <c r="G1283" s="19">
        <f>[1]TOBEPAID!G975/1000</f>
        <v>0</v>
      </c>
      <c r="H1283" s="19">
        <v>0</v>
      </c>
      <c r="I1283" s="19">
        <f>[1]TOBEPAID!I975/1000</f>
        <v>0</v>
      </c>
      <c r="J1283" s="19">
        <f>[1]TOBEPAID!J975/1000</f>
        <v>0</v>
      </c>
      <c r="K1283" s="19">
        <f>[1]TOBEPAID!K975/1000</f>
        <v>0</v>
      </c>
      <c r="L1283" s="19">
        <f>[1]TOBEPAID!L975/1000</f>
        <v>0</v>
      </c>
      <c r="M1283" s="19">
        <f>[1]TOBEPAID!M975/1000</f>
        <v>0</v>
      </c>
      <c r="N1283" s="19">
        <f>[1]TOBEPAID!N975/1000</f>
        <v>0</v>
      </c>
      <c r="O1283" s="19">
        <f>[1]TOBEPAID!O975/1000</f>
        <v>0</v>
      </c>
      <c r="P1283" s="19">
        <f>[1]TOBEPAID!P975/1000</f>
        <v>0</v>
      </c>
      <c r="Q1283" s="19">
        <f>[1]TOBEPAID!Q975/1000</f>
        <v>0</v>
      </c>
      <c r="R1283" s="19">
        <v>0</v>
      </c>
      <c r="S1283" s="19">
        <f>[1]TOBEPAID!S975/1000</f>
        <v>0</v>
      </c>
      <c r="T1283" s="19">
        <f>[1]TOBEPAID!T975/1000</f>
        <v>0</v>
      </c>
      <c r="U1283" s="19">
        <f>[1]TOBEPAID!U975/1000</f>
        <v>0</v>
      </c>
      <c r="V1283" s="19">
        <f>[1]TOBEPAID!V975/1000</f>
        <v>0</v>
      </c>
      <c r="W1283" s="19">
        <f>[1]TOBEPAID!W975/1000</f>
        <v>0</v>
      </c>
      <c r="X1283" s="19">
        <f>[1]TOBEPAID!X975/1000</f>
        <v>0</v>
      </c>
      <c r="Y1283" s="19">
        <f t="shared" si="242"/>
        <v>0</v>
      </c>
      <c r="Z1283" s="19">
        <f t="shared" si="243"/>
        <v>0</v>
      </c>
      <c r="AA1283" s="19">
        <f>[1]TOBEPAID!AA975/1000</f>
        <v>0</v>
      </c>
      <c r="AB1283" s="19">
        <f>[1]TOBEPAID!AB975/1000</f>
        <v>35419.325290000001</v>
      </c>
      <c r="AC1283" s="19"/>
      <c r="AD1283" s="19"/>
      <c r="AF1283" s="34"/>
      <c r="AG1283" s="34"/>
      <c r="AH1283" s="34"/>
      <c r="AI1283" s="34"/>
      <c r="AJ1283" s="34"/>
      <c r="AK1283" s="34"/>
      <c r="AL1283" s="34"/>
      <c r="AM1283" s="34"/>
      <c r="AN1283" s="34"/>
      <c r="AO1283" s="34"/>
      <c r="AP1283" s="34"/>
      <c r="AQ1283" s="34"/>
      <c r="AR1283" s="34"/>
      <c r="AS1283" s="34"/>
    </row>
    <row r="1284" spans="1:45" x14ac:dyDescent="0.2">
      <c r="A1284" s="18"/>
      <c r="C1284" s="3" t="s">
        <v>88</v>
      </c>
      <c r="D1284" s="19">
        <v>0</v>
      </c>
      <c r="E1284" s="19">
        <f>[1]TOBEPAID!E976/1000</f>
        <v>0</v>
      </c>
      <c r="F1284" s="19">
        <f>[1]TOBEPAID!F976/1000</f>
        <v>0</v>
      </c>
      <c r="G1284" s="19">
        <f>[1]TOBEPAID!G976/1000</f>
        <v>0</v>
      </c>
      <c r="H1284" s="19">
        <v>0</v>
      </c>
      <c r="I1284" s="19">
        <f>[1]TOBEPAID!I976/1000</f>
        <v>0</v>
      </c>
      <c r="J1284" s="19">
        <f>[1]TOBEPAID!J976/1000</f>
        <v>0</v>
      </c>
      <c r="K1284" s="19">
        <f>[1]TOBEPAID!K976/1000</f>
        <v>0</v>
      </c>
      <c r="L1284" s="19">
        <f>[1]TOBEPAID!L976/1000</f>
        <v>0</v>
      </c>
      <c r="M1284" s="19">
        <f>[1]TOBEPAID!M976/1000</f>
        <v>0</v>
      </c>
      <c r="N1284" s="19">
        <f>[1]TOBEPAID!N976/1000</f>
        <v>0</v>
      </c>
      <c r="O1284" s="19">
        <f>[1]TOBEPAID!O976/1000</f>
        <v>0</v>
      </c>
      <c r="P1284" s="19">
        <f>[1]TOBEPAID!P976/1000</f>
        <v>0</v>
      </c>
      <c r="Q1284" s="19">
        <f>[1]TOBEPAID!Q976/1000</f>
        <v>0</v>
      </c>
      <c r="R1284" s="19">
        <v>0</v>
      </c>
      <c r="S1284" s="19">
        <f>[1]TOBEPAID!S976/1000</f>
        <v>0</v>
      </c>
      <c r="T1284" s="19">
        <f>[1]TOBEPAID!T976/1000</f>
        <v>0</v>
      </c>
      <c r="U1284" s="19">
        <f>[1]TOBEPAID!U976/1000</f>
        <v>0</v>
      </c>
      <c r="V1284" s="19">
        <f>[1]TOBEPAID!V976/1000</f>
        <v>0</v>
      </c>
      <c r="W1284" s="19">
        <f>[1]TOBEPAID!W976/1000</f>
        <v>0</v>
      </c>
      <c r="X1284" s="19">
        <f>[1]TOBEPAID!X976/1000</f>
        <v>0</v>
      </c>
      <c r="Y1284" s="19">
        <f t="shared" si="242"/>
        <v>0</v>
      </c>
      <c r="Z1284" s="19">
        <f t="shared" si="243"/>
        <v>0</v>
      </c>
      <c r="AA1284" s="19">
        <f>[1]TOBEPAID!AA976/1000</f>
        <v>0</v>
      </c>
      <c r="AB1284" s="19">
        <f>[1]TOBEPAID!AB976/1000</f>
        <v>0</v>
      </c>
      <c r="AC1284" s="19"/>
      <c r="AD1284" s="19"/>
      <c r="AF1284" s="34"/>
      <c r="AG1284" s="34"/>
      <c r="AH1284" s="34"/>
      <c r="AI1284" s="34"/>
      <c r="AJ1284" s="34"/>
      <c r="AK1284" s="34"/>
      <c r="AL1284" s="34"/>
      <c r="AM1284" s="34"/>
      <c r="AN1284" s="34"/>
      <c r="AO1284" s="34"/>
      <c r="AP1284" s="34"/>
      <c r="AQ1284" s="34"/>
      <c r="AR1284" s="34"/>
      <c r="AS1284" s="34"/>
    </row>
    <row r="1285" spans="1:45" x14ac:dyDescent="0.2">
      <c r="A1285" s="18"/>
      <c r="D1285" s="21" t="s">
        <v>57</v>
      </c>
      <c r="E1285" s="21" t="s">
        <v>57</v>
      </c>
      <c r="F1285" s="21" t="s">
        <v>57</v>
      </c>
      <c r="G1285" s="21"/>
      <c r="H1285" s="21" t="s">
        <v>57</v>
      </c>
      <c r="I1285" s="21" t="s">
        <v>57</v>
      </c>
      <c r="J1285" s="21" t="s">
        <v>57</v>
      </c>
      <c r="K1285" s="21" t="s">
        <v>57</v>
      </c>
      <c r="L1285" s="21" t="s">
        <v>57</v>
      </c>
      <c r="M1285" s="21"/>
      <c r="N1285" s="21" t="s">
        <v>57</v>
      </c>
      <c r="O1285" s="21" t="s">
        <v>57</v>
      </c>
      <c r="P1285" s="21" t="s">
        <v>57</v>
      </c>
      <c r="Q1285" s="21"/>
      <c r="R1285" s="21" t="s">
        <v>57</v>
      </c>
      <c r="S1285" s="21" t="s">
        <v>57</v>
      </c>
      <c r="T1285" s="21" t="s">
        <v>57</v>
      </c>
      <c r="U1285" s="21" t="s">
        <v>57</v>
      </c>
      <c r="V1285" s="21" t="s">
        <v>57</v>
      </c>
      <c r="W1285" s="21"/>
      <c r="X1285" s="21" t="s">
        <v>57</v>
      </c>
      <c r="Y1285" s="21" t="s">
        <v>57</v>
      </c>
      <c r="Z1285" s="21" t="s">
        <v>57</v>
      </c>
      <c r="AA1285" s="21" t="s">
        <v>57</v>
      </c>
      <c r="AB1285" s="21" t="s">
        <v>57</v>
      </c>
      <c r="AC1285" s="21"/>
      <c r="AD1285" s="21"/>
      <c r="AF1285" s="34"/>
      <c r="AG1285" s="34"/>
      <c r="AH1285" s="34"/>
      <c r="AI1285" s="34"/>
      <c r="AJ1285" s="34"/>
      <c r="AK1285" s="34"/>
      <c r="AL1285" s="34"/>
      <c r="AM1285" s="34"/>
      <c r="AN1285" s="34"/>
      <c r="AO1285" s="34"/>
      <c r="AP1285" s="34"/>
      <c r="AQ1285" s="34"/>
      <c r="AR1285" s="34"/>
      <c r="AS1285" s="34"/>
    </row>
    <row r="1286" spans="1:45" x14ac:dyDescent="0.2">
      <c r="A1286" s="18"/>
      <c r="D1286" s="35">
        <f>SUM(D1275:D1284)</f>
        <v>147518.72899999999</v>
      </c>
      <c r="E1286" s="35">
        <f>SUM(E1275:E1284)</f>
        <v>0</v>
      </c>
      <c r="F1286" s="35">
        <f>SUM(F1275:F1284)</f>
        <v>0</v>
      </c>
      <c r="G1286" s="35"/>
      <c r="H1286" s="35">
        <f>SUM(H1275:H1284)</f>
        <v>149135.02899999998</v>
      </c>
      <c r="I1286" s="35">
        <f>SUM(I1275:I1284)</f>
        <v>0</v>
      </c>
      <c r="J1286" s="35">
        <f>SUM(J1275:J1284)</f>
        <v>0</v>
      </c>
      <c r="K1286" s="35">
        <f>SUM(K1275:K1284)</f>
        <v>0</v>
      </c>
      <c r="L1286" s="35">
        <f>SUM(L1275:L1284)</f>
        <v>0</v>
      </c>
      <c r="M1286" s="35"/>
      <c r="N1286" s="35">
        <f>SUM(N1275:N1284)</f>
        <v>0</v>
      </c>
      <c r="O1286" s="35">
        <f>SUM(O1275:O1284)</f>
        <v>0</v>
      </c>
      <c r="P1286" s="35">
        <f>SUM(P1275:P1284)</f>
        <v>0</v>
      </c>
      <c r="Q1286" s="35"/>
      <c r="R1286" s="35">
        <f>SUM(R1275:R1284)</f>
        <v>0</v>
      </c>
      <c r="S1286" s="35">
        <f>SUM(S1275:S1284)</f>
        <v>0</v>
      </c>
      <c r="T1286" s="35">
        <f>SUM(T1275:T1284)</f>
        <v>0</v>
      </c>
      <c r="U1286" s="35">
        <f>SUM(U1275:U1284)</f>
        <v>0</v>
      </c>
      <c r="V1286" s="35">
        <f>SUM(V1275:V1284)</f>
        <v>0</v>
      </c>
      <c r="W1286" s="35"/>
      <c r="X1286" s="35">
        <f>SUM(X1275:X1284)</f>
        <v>0</v>
      </c>
      <c r="Y1286" s="35">
        <f>SUM(Y1275:Y1284)</f>
        <v>149135.02899999998</v>
      </c>
      <c r="Z1286" s="35">
        <f>SUM(Z1275:Z1284)</f>
        <v>-1616.2999999999884</v>
      </c>
      <c r="AA1286" s="35">
        <f>SUM(AA1275:AA1284)</f>
        <v>0</v>
      </c>
      <c r="AB1286" s="35">
        <f>SUM(AB1275:AB1284)</f>
        <v>72307.88857000001</v>
      </c>
      <c r="AC1286" s="35"/>
      <c r="AD1286" s="35"/>
      <c r="AF1286" s="34"/>
      <c r="AG1286" s="34"/>
      <c r="AH1286" s="34"/>
      <c r="AI1286" s="34"/>
      <c r="AJ1286" s="34"/>
      <c r="AK1286" s="34"/>
      <c r="AL1286" s="34"/>
      <c r="AM1286" s="34"/>
      <c r="AN1286" s="34"/>
      <c r="AO1286" s="34"/>
      <c r="AP1286" s="34"/>
      <c r="AQ1286" s="34"/>
      <c r="AR1286" s="34"/>
      <c r="AS1286" s="34"/>
    </row>
    <row r="1287" spans="1:45" x14ac:dyDescent="0.2">
      <c r="A1287" s="18"/>
      <c r="D1287" s="21" t="s">
        <v>57</v>
      </c>
      <c r="E1287" s="21" t="s">
        <v>57</v>
      </c>
      <c r="F1287" s="21" t="s">
        <v>57</v>
      </c>
      <c r="G1287" s="21"/>
      <c r="H1287" s="21" t="s">
        <v>57</v>
      </c>
      <c r="I1287" s="21" t="s">
        <v>57</v>
      </c>
      <c r="J1287" s="21" t="s">
        <v>57</v>
      </c>
      <c r="K1287" s="21" t="s">
        <v>57</v>
      </c>
      <c r="L1287" s="21" t="s">
        <v>57</v>
      </c>
      <c r="M1287" s="21"/>
      <c r="N1287" s="21" t="s">
        <v>57</v>
      </c>
      <c r="O1287" s="21" t="s">
        <v>57</v>
      </c>
      <c r="P1287" s="21" t="s">
        <v>57</v>
      </c>
      <c r="Q1287" s="21"/>
      <c r="R1287" s="21" t="s">
        <v>57</v>
      </c>
      <c r="S1287" s="21" t="s">
        <v>57</v>
      </c>
      <c r="T1287" s="21" t="s">
        <v>57</v>
      </c>
      <c r="U1287" s="21" t="s">
        <v>57</v>
      </c>
      <c r="V1287" s="21" t="s">
        <v>57</v>
      </c>
      <c r="W1287" s="21"/>
      <c r="X1287" s="21" t="s">
        <v>57</v>
      </c>
      <c r="Y1287" s="21" t="s">
        <v>57</v>
      </c>
      <c r="Z1287" s="21" t="s">
        <v>57</v>
      </c>
      <c r="AA1287" s="21" t="s">
        <v>57</v>
      </c>
      <c r="AB1287" s="21" t="s">
        <v>57</v>
      </c>
      <c r="AC1287" s="21"/>
      <c r="AD1287" s="21"/>
      <c r="AF1287" s="34"/>
      <c r="AG1287" s="34"/>
      <c r="AH1287" s="34"/>
      <c r="AI1287" s="34"/>
      <c r="AJ1287" s="34"/>
      <c r="AK1287" s="34"/>
      <c r="AL1287" s="34"/>
      <c r="AM1287" s="34"/>
      <c r="AN1287" s="34"/>
      <c r="AO1287" s="34"/>
      <c r="AP1287" s="34"/>
      <c r="AQ1287" s="34"/>
      <c r="AR1287" s="34"/>
      <c r="AS1287" s="34"/>
    </row>
    <row r="1288" spans="1:45" ht="15.75" thickBot="1" x14ac:dyDescent="0.25">
      <c r="A1288" s="18"/>
      <c r="D1288" s="21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  <c r="R1288" s="21"/>
      <c r="S1288" s="21"/>
      <c r="T1288" s="21"/>
      <c r="U1288" s="21"/>
      <c r="V1288" s="21"/>
      <c r="W1288" s="21"/>
      <c r="X1288" s="21"/>
      <c r="Y1288" s="48" t="s">
        <v>358</v>
      </c>
      <c r="Z1288" s="48"/>
      <c r="AA1288" s="21"/>
      <c r="AB1288" s="21"/>
      <c r="AC1288" s="21"/>
      <c r="AD1288" s="21"/>
      <c r="AF1288" s="34"/>
      <c r="AG1288" s="34"/>
      <c r="AH1288" s="34"/>
      <c r="AI1288" s="34"/>
      <c r="AJ1288" s="34"/>
      <c r="AK1288" s="34"/>
      <c r="AL1288" s="34"/>
      <c r="AM1288" s="34"/>
      <c r="AN1288" s="34"/>
      <c r="AO1288" s="34"/>
      <c r="AP1288" s="34"/>
      <c r="AQ1288" s="34"/>
      <c r="AR1288" s="34"/>
      <c r="AS1288" s="34"/>
    </row>
    <row r="1289" spans="1:45" ht="15.75" thickTop="1" x14ac:dyDescent="0.2">
      <c r="A1289" s="18"/>
      <c r="D1289" s="21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  <c r="Q1289" s="21"/>
      <c r="R1289" s="21"/>
      <c r="S1289" s="21"/>
      <c r="T1289" s="21"/>
      <c r="U1289" s="21"/>
      <c r="V1289" s="21"/>
      <c r="W1289" s="21"/>
      <c r="X1289" s="21"/>
      <c r="Y1289" s="21"/>
      <c r="Z1289" s="21"/>
      <c r="AA1289" s="21"/>
      <c r="AB1289" s="21"/>
      <c r="AC1289" s="21"/>
      <c r="AD1289" s="21"/>
      <c r="AF1289" s="34"/>
      <c r="AG1289" s="34"/>
      <c r="AH1289" s="34"/>
      <c r="AI1289" s="34"/>
      <c r="AJ1289" s="34"/>
      <c r="AK1289" s="34"/>
      <c r="AL1289" s="34"/>
      <c r="AM1289" s="34"/>
      <c r="AN1289" s="34"/>
      <c r="AO1289" s="34"/>
      <c r="AP1289" s="34"/>
      <c r="AQ1289" s="34"/>
      <c r="AR1289" s="34"/>
      <c r="AS1289" s="34"/>
    </row>
    <row r="1290" spans="1:45" x14ac:dyDescent="0.2">
      <c r="A1290" s="18"/>
      <c r="D1290" s="21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  <c r="R1290" s="21"/>
      <c r="S1290" s="21"/>
      <c r="T1290" s="21"/>
      <c r="U1290" s="21"/>
      <c r="V1290" s="21"/>
      <c r="W1290" s="21"/>
      <c r="X1290" s="21"/>
      <c r="Y1290" s="21"/>
      <c r="Z1290" s="21"/>
      <c r="AA1290" s="21"/>
      <c r="AB1290" s="21"/>
      <c r="AC1290" s="21"/>
      <c r="AD1290" s="21"/>
      <c r="AF1290" s="34"/>
      <c r="AG1290" s="34"/>
      <c r="AH1290" s="34"/>
      <c r="AI1290" s="34"/>
      <c r="AJ1290" s="34"/>
      <c r="AK1290" s="34"/>
      <c r="AL1290" s="34"/>
      <c r="AM1290" s="34"/>
      <c r="AN1290" s="34"/>
      <c r="AO1290" s="34"/>
      <c r="AP1290" s="34"/>
      <c r="AQ1290" s="34"/>
      <c r="AR1290" s="34"/>
      <c r="AS1290" s="34"/>
    </row>
    <row r="1291" spans="1:45" x14ac:dyDescent="0.2">
      <c r="A1291" s="18">
        <v>101</v>
      </c>
      <c r="B1291" s="3" t="s">
        <v>359</v>
      </c>
      <c r="C1291" s="17" t="s">
        <v>51</v>
      </c>
      <c r="D1291" s="19">
        <f>59681871/1000</f>
        <v>59681.870999999999</v>
      </c>
      <c r="E1291" s="19">
        <f>[1]TOBEPAID!E980/1000</f>
        <v>0</v>
      </c>
      <c r="F1291" s="19">
        <f>[1]TOBEPAID!F980/1000</f>
        <v>0</v>
      </c>
      <c r="G1291" s="19">
        <f>[1]TOBEPAID!G980/1000</f>
        <v>0</v>
      </c>
      <c r="H1291" s="19">
        <f>51530223/1000</f>
        <v>51530.222999999998</v>
      </c>
      <c r="I1291" s="19">
        <f>[1]TOBEPAID!I980/1000</f>
        <v>0</v>
      </c>
      <c r="J1291" s="19">
        <f>[1]TOBEPAID!J980/1000</f>
        <v>0</v>
      </c>
      <c r="K1291" s="19">
        <f>[1]TOBEPAID!K980/1000</f>
        <v>0</v>
      </c>
      <c r="L1291" s="19">
        <f>[1]TOBEPAID!L980/1000</f>
        <v>0</v>
      </c>
      <c r="M1291" s="19">
        <f>[1]TOBEPAID!M980/1000</f>
        <v>0</v>
      </c>
      <c r="N1291" s="19">
        <f>[1]TOBEPAID!N980/1000</f>
        <v>0</v>
      </c>
      <c r="O1291" s="19">
        <f>[1]TOBEPAID!O980/1000</f>
        <v>0</v>
      </c>
      <c r="P1291" s="19">
        <f>[1]TOBEPAID!P980/1000</f>
        <v>0</v>
      </c>
      <c r="Q1291" s="19">
        <f>[1]TOBEPAID!Q980/1000</f>
        <v>0</v>
      </c>
      <c r="R1291" s="19">
        <v>0</v>
      </c>
      <c r="S1291" s="19">
        <f>[1]TOBEPAID!S980/1000</f>
        <v>0</v>
      </c>
      <c r="T1291" s="19">
        <f>[1]TOBEPAID!T980/1000</f>
        <v>0</v>
      </c>
      <c r="U1291" s="19">
        <f>[1]TOBEPAID!U980/1000</f>
        <v>0</v>
      </c>
      <c r="V1291" s="19">
        <f>[1]TOBEPAID!V980/1000</f>
        <v>0</v>
      </c>
      <c r="W1291" s="19">
        <f>[1]TOBEPAID!W980/1000</f>
        <v>0</v>
      </c>
      <c r="X1291" s="19">
        <f>[1]TOBEPAID!X980/1000</f>
        <v>0</v>
      </c>
      <c r="Y1291" s="19">
        <f t="shared" ref="Y1291:Y1301" si="245">+H1291+R1291</f>
        <v>51530.222999999998</v>
      </c>
      <c r="Z1291" s="19">
        <f t="shared" ref="Z1291:Z1301" si="246">+D1291-Y1291</f>
        <v>8151.648000000001</v>
      </c>
      <c r="AA1291" s="19">
        <f>[1]TOBEPAID!AA980/1000</f>
        <v>0</v>
      </c>
      <c r="AB1291" s="19">
        <f>[1]TOBEPAID!AB980/1000</f>
        <v>33103.740239999992</v>
      </c>
      <c r="AC1291" s="19"/>
      <c r="AD1291" s="19"/>
      <c r="AF1291" s="34"/>
      <c r="AG1291" s="34"/>
      <c r="AH1291" s="34"/>
      <c r="AI1291" s="34"/>
      <c r="AJ1291" s="34"/>
      <c r="AK1291" s="34"/>
      <c r="AL1291" s="34"/>
      <c r="AM1291" s="34"/>
      <c r="AN1291" s="34"/>
      <c r="AO1291" s="34"/>
      <c r="AP1291" s="34"/>
      <c r="AQ1291" s="34"/>
      <c r="AR1291" s="34"/>
    </row>
    <row r="1292" spans="1:45" x14ac:dyDescent="0.2">
      <c r="A1292" s="18"/>
      <c r="C1292" s="17" t="s">
        <v>160</v>
      </c>
      <c r="D1292" s="19">
        <f>25000000/1000</f>
        <v>25000</v>
      </c>
      <c r="E1292" s="19"/>
      <c r="F1292" s="19"/>
      <c r="G1292" s="19"/>
      <c r="H1292" s="19">
        <f>25000000/1000</f>
        <v>25000</v>
      </c>
      <c r="I1292" s="19"/>
      <c r="J1292" s="19"/>
      <c r="K1292" s="19"/>
      <c r="L1292" s="19"/>
      <c r="M1292" s="19"/>
      <c r="N1292" s="19"/>
      <c r="O1292" s="19"/>
      <c r="P1292" s="19"/>
      <c r="Q1292" s="19"/>
      <c r="R1292" s="19">
        <v>0</v>
      </c>
      <c r="S1292" s="19"/>
      <c r="T1292" s="19"/>
      <c r="U1292" s="19"/>
      <c r="V1292" s="19"/>
      <c r="W1292" s="19"/>
      <c r="X1292" s="19"/>
      <c r="Y1292" s="19">
        <f>+H1292+R1292</f>
        <v>25000</v>
      </c>
      <c r="Z1292" s="19">
        <f t="shared" si="246"/>
        <v>0</v>
      </c>
      <c r="AA1292" s="19"/>
      <c r="AB1292" s="19"/>
      <c r="AC1292" s="19"/>
      <c r="AD1292" s="19"/>
      <c r="AF1292" s="34"/>
      <c r="AG1292" s="34"/>
      <c r="AH1292" s="34"/>
      <c r="AI1292" s="34"/>
      <c r="AJ1292" s="34"/>
      <c r="AK1292" s="34"/>
      <c r="AL1292" s="34"/>
      <c r="AM1292" s="34"/>
      <c r="AN1292" s="34"/>
      <c r="AO1292" s="34"/>
      <c r="AP1292" s="34"/>
      <c r="AQ1292" s="34"/>
      <c r="AR1292" s="34"/>
    </row>
    <row r="1293" spans="1:45" x14ac:dyDescent="0.2">
      <c r="A1293" s="18"/>
      <c r="C1293" s="17" t="s">
        <v>181</v>
      </c>
      <c r="D1293" s="19">
        <f>127000000/1000</f>
        <v>127000</v>
      </c>
      <c r="E1293" s="19"/>
      <c r="F1293" s="19"/>
      <c r="G1293" s="19"/>
      <c r="H1293" s="19">
        <f>111135681.12/1000</f>
        <v>111135.68112000001</v>
      </c>
      <c r="I1293" s="19"/>
      <c r="J1293" s="19"/>
      <c r="K1293" s="19"/>
      <c r="L1293" s="19"/>
      <c r="M1293" s="19"/>
      <c r="N1293" s="19"/>
      <c r="O1293" s="19"/>
      <c r="P1293" s="19"/>
      <c r="Q1293" s="19"/>
      <c r="R1293" s="19">
        <v>0</v>
      </c>
      <c r="S1293" s="19"/>
      <c r="T1293" s="19"/>
      <c r="U1293" s="19"/>
      <c r="V1293" s="19"/>
      <c r="W1293" s="19"/>
      <c r="X1293" s="19"/>
      <c r="Y1293" s="19">
        <f>+H1293+R1293</f>
        <v>111135.68112000001</v>
      </c>
      <c r="Z1293" s="19">
        <f t="shared" si="246"/>
        <v>15864.318879999992</v>
      </c>
      <c r="AA1293" s="19"/>
      <c r="AB1293" s="19"/>
      <c r="AC1293" s="19"/>
      <c r="AD1293" s="19"/>
      <c r="AF1293" s="34"/>
      <c r="AG1293" s="34"/>
      <c r="AH1293" s="34"/>
      <c r="AI1293" s="34"/>
      <c r="AJ1293" s="34"/>
      <c r="AK1293" s="34"/>
      <c r="AL1293" s="34"/>
      <c r="AM1293" s="34"/>
      <c r="AN1293" s="34"/>
      <c r="AO1293" s="34"/>
      <c r="AP1293" s="34"/>
      <c r="AQ1293" s="34"/>
      <c r="AR1293" s="34"/>
    </row>
    <row r="1294" spans="1:45" x14ac:dyDescent="0.2">
      <c r="A1294" s="18"/>
      <c r="C1294" s="3" t="s">
        <v>52</v>
      </c>
      <c r="D1294" s="19">
        <f>257193/1000</f>
        <v>257.19299999999998</v>
      </c>
      <c r="E1294" s="19">
        <f>[1]TOBEPAID!E981/1000</f>
        <v>257.19299999999998</v>
      </c>
      <c r="F1294" s="19">
        <f>[1]TOBEPAID!F981/1000</f>
        <v>0</v>
      </c>
      <c r="G1294" s="19">
        <f>[1]TOBEPAID!G981/1000</f>
        <v>0</v>
      </c>
      <c r="H1294" s="19">
        <f>257193/1000</f>
        <v>257.19299999999998</v>
      </c>
      <c r="I1294" s="19">
        <f>[1]TOBEPAID!I981/1000</f>
        <v>0</v>
      </c>
      <c r="J1294" s="19">
        <f>[1]TOBEPAID!J981/1000</f>
        <v>0</v>
      </c>
      <c r="K1294" s="19">
        <f>[1]TOBEPAID!K981/1000</f>
        <v>0</v>
      </c>
      <c r="L1294" s="19">
        <f>[1]TOBEPAID!L981/1000</f>
        <v>0</v>
      </c>
      <c r="M1294" s="19">
        <f>[1]TOBEPAID!M981/1000</f>
        <v>0</v>
      </c>
      <c r="N1294" s="19">
        <f>[1]TOBEPAID!N981/1000</f>
        <v>257.19299999999998</v>
      </c>
      <c r="O1294" s="19">
        <f>[1]TOBEPAID!O981/1000</f>
        <v>0</v>
      </c>
      <c r="P1294" s="19">
        <f>[1]TOBEPAID!P981/1000</f>
        <v>0</v>
      </c>
      <c r="Q1294" s="19">
        <f>[1]TOBEPAID!Q981/1000</f>
        <v>0</v>
      </c>
      <c r="R1294" s="19">
        <v>0</v>
      </c>
      <c r="S1294" s="19">
        <f>[1]TOBEPAID!S981/1000</f>
        <v>0</v>
      </c>
      <c r="T1294" s="19">
        <f>[1]TOBEPAID!T981/1000</f>
        <v>0</v>
      </c>
      <c r="U1294" s="19">
        <f>[1]TOBEPAID!U981/1000</f>
        <v>0</v>
      </c>
      <c r="V1294" s="19">
        <f>[1]TOBEPAID!V981/1000</f>
        <v>0</v>
      </c>
      <c r="W1294" s="19">
        <f>[1]TOBEPAID!W981/1000</f>
        <v>0</v>
      </c>
      <c r="X1294" s="19">
        <f>[1]TOBEPAID!X981/1000</f>
        <v>0</v>
      </c>
      <c r="Y1294" s="19">
        <f t="shared" si="245"/>
        <v>257.19299999999998</v>
      </c>
      <c r="Z1294" s="19">
        <f t="shared" si="246"/>
        <v>0</v>
      </c>
      <c r="AA1294" s="19">
        <f>[1]TOBEPAID!AA981/1000</f>
        <v>257.19299999999998</v>
      </c>
      <c r="AB1294" s="19">
        <f>[1]TOBEPAID!AB981/1000</f>
        <v>0</v>
      </c>
      <c r="AC1294" s="19"/>
      <c r="AD1294" s="19"/>
      <c r="AS1294" s="34"/>
    </row>
    <row r="1295" spans="1:45" x14ac:dyDescent="0.2">
      <c r="C1295" s="3" t="s">
        <v>62</v>
      </c>
      <c r="D1295" s="19">
        <f>5521162/1000</f>
        <v>5521.1620000000003</v>
      </c>
      <c r="E1295" s="19">
        <f>[1]TOBEPAID!E982/1000</f>
        <v>5521.1629199999998</v>
      </c>
      <c r="F1295" s="19">
        <f>[1]TOBEPAID!F982/1000</f>
        <v>0</v>
      </c>
      <c r="G1295" s="19">
        <f>[1]TOBEPAID!G982/1000</f>
        <v>0</v>
      </c>
      <c r="H1295" s="19">
        <f>5521162/1000</f>
        <v>5521.1620000000003</v>
      </c>
      <c r="I1295" s="19">
        <f>[1]TOBEPAID!I982/1000</f>
        <v>0</v>
      </c>
      <c r="J1295" s="19">
        <f>[1]TOBEPAID!J982/1000</f>
        <v>0</v>
      </c>
      <c r="K1295" s="19">
        <f>[1]TOBEPAID!K982/1000</f>
        <v>0</v>
      </c>
      <c r="L1295" s="19">
        <f>[1]TOBEPAID!L982/1000</f>
        <v>0</v>
      </c>
      <c r="M1295" s="19">
        <f>[1]TOBEPAID!M982/1000</f>
        <v>0</v>
      </c>
      <c r="N1295" s="19">
        <f>[1]TOBEPAID!N982/1000</f>
        <v>5521.1629199999998</v>
      </c>
      <c r="O1295" s="19">
        <f>[1]TOBEPAID!O982/1000</f>
        <v>0</v>
      </c>
      <c r="P1295" s="19">
        <f>[1]TOBEPAID!P982/1000</f>
        <v>0</v>
      </c>
      <c r="Q1295" s="19">
        <f>[1]TOBEPAID!Q982/1000</f>
        <v>0</v>
      </c>
      <c r="R1295" s="19">
        <v>0</v>
      </c>
      <c r="S1295" s="19">
        <f>[1]TOBEPAID!S982/1000</f>
        <v>0</v>
      </c>
      <c r="T1295" s="19">
        <f>[1]TOBEPAID!T982/1000</f>
        <v>0</v>
      </c>
      <c r="U1295" s="19">
        <f>[1]TOBEPAID!U982/1000</f>
        <v>0</v>
      </c>
      <c r="V1295" s="19">
        <f>[1]TOBEPAID!V982/1000</f>
        <v>0</v>
      </c>
      <c r="W1295" s="19">
        <f>[1]TOBEPAID!W982/1000</f>
        <v>0</v>
      </c>
      <c r="X1295" s="19">
        <f>[1]TOBEPAID!X982/1000</f>
        <v>0</v>
      </c>
      <c r="Y1295" s="19">
        <f t="shared" si="245"/>
        <v>5521.1620000000003</v>
      </c>
      <c r="Z1295" s="19">
        <f t="shared" si="246"/>
        <v>0</v>
      </c>
      <c r="AA1295" s="19">
        <f>[1]TOBEPAID!AA982/1000</f>
        <v>5521.1629199999998</v>
      </c>
      <c r="AB1295" s="19">
        <f>[1]TOBEPAID!AB982/1000</f>
        <v>0</v>
      </c>
      <c r="AC1295" s="19"/>
      <c r="AD1295" s="19"/>
      <c r="AF1295" s="34"/>
      <c r="AG1295" s="34"/>
      <c r="AH1295" s="34"/>
      <c r="AI1295" s="34"/>
      <c r="AJ1295" s="34"/>
      <c r="AK1295" s="34"/>
      <c r="AL1295" s="34"/>
      <c r="AM1295" s="34"/>
      <c r="AN1295" s="34"/>
      <c r="AO1295" s="34"/>
      <c r="AP1295" s="34"/>
      <c r="AQ1295" s="34"/>
      <c r="AR1295" s="34"/>
      <c r="AS1295" s="34"/>
    </row>
    <row r="1296" spans="1:45" x14ac:dyDescent="0.2">
      <c r="C1296" s="3" t="s">
        <v>64</v>
      </c>
      <c r="D1296" s="19">
        <f>12000000/1000</f>
        <v>12000</v>
      </c>
      <c r="E1296" s="19"/>
      <c r="F1296" s="19"/>
      <c r="G1296" s="19"/>
      <c r="H1296" s="19">
        <f>12000000/1000</f>
        <v>12000</v>
      </c>
      <c r="I1296" s="19"/>
      <c r="J1296" s="19"/>
      <c r="K1296" s="19"/>
      <c r="L1296" s="19"/>
      <c r="M1296" s="19"/>
      <c r="N1296" s="19"/>
      <c r="O1296" s="19"/>
      <c r="P1296" s="19"/>
      <c r="Q1296" s="19"/>
      <c r="R1296" s="19">
        <v>0</v>
      </c>
      <c r="S1296" s="19"/>
      <c r="T1296" s="19"/>
      <c r="U1296" s="19"/>
      <c r="V1296" s="19"/>
      <c r="W1296" s="19"/>
      <c r="X1296" s="19"/>
      <c r="Y1296" s="19">
        <f t="shared" si="245"/>
        <v>12000</v>
      </c>
      <c r="Z1296" s="19">
        <f t="shared" si="246"/>
        <v>0</v>
      </c>
      <c r="AA1296" s="19"/>
      <c r="AB1296" s="19"/>
      <c r="AC1296" s="19"/>
      <c r="AD1296" s="19"/>
      <c r="AF1296" s="34"/>
      <c r="AG1296" s="34"/>
      <c r="AH1296" s="34"/>
      <c r="AI1296" s="34"/>
      <c r="AJ1296" s="34"/>
      <c r="AK1296" s="34"/>
      <c r="AL1296" s="34"/>
      <c r="AM1296" s="34"/>
      <c r="AN1296" s="34"/>
      <c r="AO1296" s="34"/>
      <c r="AP1296" s="34"/>
      <c r="AQ1296" s="34"/>
      <c r="AR1296" s="34"/>
      <c r="AS1296" s="34"/>
    </row>
    <row r="1297" spans="1:45" x14ac:dyDescent="0.2">
      <c r="C1297" s="3" t="s">
        <v>360</v>
      </c>
      <c r="D1297" s="19">
        <f>10000000/1000</f>
        <v>10000</v>
      </c>
      <c r="E1297" s="19"/>
      <c r="F1297" s="19"/>
      <c r="G1297" s="19"/>
      <c r="H1297" s="19">
        <f>10000000/1000</f>
        <v>10000</v>
      </c>
      <c r="I1297" s="19"/>
      <c r="J1297" s="19"/>
      <c r="K1297" s="19"/>
      <c r="L1297" s="19"/>
      <c r="M1297" s="19"/>
      <c r="N1297" s="19"/>
      <c r="O1297" s="19"/>
      <c r="P1297" s="19"/>
      <c r="Q1297" s="19"/>
      <c r="R1297" s="19">
        <v>0</v>
      </c>
      <c r="S1297" s="19"/>
      <c r="T1297" s="19"/>
      <c r="U1297" s="19"/>
      <c r="V1297" s="19"/>
      <c r="W1297" s="19"/>
      <c r="X1297" s="19"/>
      <c r="Y1297" s="19">
        <f t="shared" si="245"/>
        <v>10000</v>
      </c>
      <c r="Z1297" s="19">
        <f t="shared" si="246"/>
        <v>0</v>
      </c>
      <c r="AA1297" s="19"/>
      <c r="AB1297" s="19"/>
      <c r="AC1297" s="19"/>
      <c r="AD1297" s="19"/>
      <c r="AF1297" s="34"/>
      <c r="AG1297" s="34"/>
      <c r="AH1297" s="34"/>
      <c r="AI1297" s="34"/>
      <c r="AJ1297" s="34"/>
      <c r="AK1297" s="34"/>
      <c r="AL1297" s="34"/>
      <c r="AM1297" s="34"/>
      <c r="AN1297" s="34"/>
      <c r="AO1297" s="34"/>
      <c r="AP1297" s="34"/>
      <c r="AQ1297" s="34"/>
      <c r="AR1297" s="34"/>
      <c r="AS1297" s="34"/>
    </row>
    <row r="1298" spans="1:45" x14ac:dyDescent="0.2">
      <c r="C1298" s="3" t="s">
        <v>67</v>
      </c>
      <c r="D1298" s="19">
        <f>75000000/1000</f>
        <v>75000</v>
      </c>
      <c r="E1298" s="19"/>
      <c r="F1298" s="19"/>
      <c r="G1298" s="19"/>
      <c r="H1298" s="19">
        <f>75000000/1000</f>
        <v>75000</v>
      </c>
      <c r="I1298" s="19"/>
      <c r="J1298" s="19"/>
      <c r="K1298" s="19"/>
      <c r="L1298" s="19"/>
      <c r="M1298" s="19"/>
      <c r="N1298" s="19"/>
      <c r="O1298" s="19"/>
      <c r="P1298" s="19"/>
      <c r="Q1298" s="19"/>
      <c r="R1298" s="19">
        <v>0</v>
      </c>
      <c r="S1298" s="19"/>
      <c r="T1298" s="19"/>
      <c r="U1298" s="19"/>
      <c r="V1298" s="19"/>
      <c r="W1298" s="19"/>
      <c r="X1298" s="19"/>
      <c r="Y1298" s="19">
        <f>+H1298+R1298</f>
        <v>75000</v>
      </c>
      <c r="Z1298" s="19">
        <f t="shared" si="246"/>
        <v>0</v>
      </c>
      <c r="AA1298" s="19"/>
      <c r="AB1298" s="19"/>
      <c r="AC1298" s="19"/>
      <c r="AD1298" s="19"/>
      <c r="AF1298" s="34"/>
      <c r="AG1298" s="34"/>
      <c r="AH1298" s="34"/>
      <c r="AI1298" s="34"/>
      <c r="AJ1298" s="34"/>
      <c r="AK1298" s="34"/>
      <c r="AL1298" s="34"/>
      <c r="AM1298" s="34"/>
      <c r="AN1298" s="34"/>
      <c r="AO1298" s="34"/>
      <c r="AP1298" s="34"/>
      <c r="AQ1298" s="34"/>
      <c r="AR1298" s="34"/>
      <c r="AS1298" s="34"/>
    </row>
    <row r="1299" spans="1:45" x14ac:dyDescent="0.2">
      <c r="A1299" s="18"/>
      <c r="C1299" s="3" t="s">
        <v>87</v>
      </c>
      <c r="D1299" s="19">
        <v>0</v>
      </c>
      <c r="E1299" s="19">
        <f>[1]TOBEPAID!E983/1000</f>
        <v>0</v>
      </c>
      <c r="F1299" s="19">
        <f>[1]TOBEPAID!F983/1000</f>
        <v>0</v>
      </c>
      <c r="G1299" s="19">
        <f>[1]TOBEPAID!G983/1000</f>
        <v>0</v>
      </c>
      <c r="H1299" s="19">
        <v>0</v>
      </c>
      <c r="I1299" s="19">
        <f>[1]TOBEPAID!I983/1000</f>
        <v>0</v>
      </c>
      <c r="J1299" s="19">
        <f>[1]TOBEPAID!J983/1000</f>
        <v>0</v>
      </c>
      <c r="K1299" s="19">
        <f>[1]TOBEPAID!K983/1000</f>
        <v>0</v>
      </c>
      <c r="L1299" s="19">
        <f>[1]TOBEPAID!L983/1000</f>
        <v>0</v>
      </c>
      <c r="M1299" s="19">
        <f>[1]TOBEPAID!M983/1000</f>
        <v>0</v>
      </c>
      <c r="N1299" s="19">
        <f>[1]TOBEPAID!N983/1000</f>
        <v>0</v>
      </c>
      <c r="O1299" s="19">
        <f>[1]TOBEPAID!O983/1000</f>
        <v>0</v>
      </c>
      <c r="P1299" s="19">
        <f>[1]TOBEPAID!P983/1000</f>
        <v>0</v>
      </c>
      <c r="Q1299" s="19">
        <f>[1]TOBEPAID!Q983/1000</f>
        <v>0</v>
      </c>
      <c r="R1299" s="19">
        <v>0</v>
      </c>
      <c r="S1299" s="19">
        <f>[1]TOBEPAID!S983/1000</f>
        <v>0</v>
      </c>
      <c r="T1299" s="19">
        <f>[1]TOBEPAID!T983/1000</f>
        <v>0</v>
      </c>
      <c r="U1299" s="19">
        <f>[1]TOBEPAID!U983/1000</f>
        <v>0</v>
      </c>
      <c r="V1299" s="19">
        <f>[1]TOBEPAID!V983/1000</f>
        <v>0</v>
      </c>
      <c r="W1299" s="19">
        <f>[1]TOBEPAID!W983/1000</f>
        <v>0</v>
      </c>
      <c r="X1299" s="19">
        <f>[1]TOBEPAID!X983/1000</f>
        <v>0</v>
      </c>
      <c r="Y1299" s="19">
        <f t="shared" si="245"/>
        <v>0</v>
      </c>
      <c r="Z1299" s="19">
        <f t="shared" si="246"/>
        <v>0</v>
      </c>
      <c r="AA1299" s="19">
        <f>[1]TOBEPAID!AA983/1000</f>
        <v>0</v>
      </c>
      <c r="AB1299" s="19">
        <f>[1]TOBEPAID!AB983/1000</f>
        <v>18626.426620000002</v>
      </c>
      <c r="AC1299" s="19"/>
      <c r="AD1299" s="19"/>
      <c r="AF1299" s="34"/>
      <c r="AG1299" s="34"/>
      <c r="AH1299" s="34"/>
      <c r="AI1299" s="34"/>
      <c r="AJ1299" s="34"/>
      <c r="AK1299" s="34"/>
      <c r="AL1299" s="34"/>
      <c r="AM1299" s="34"/>
      <c r="AN1299" s="34"/>
      <c r="AO1299" s="34"/>
      <c r="AP1299" s="34"/>
      <c r="AQ1299" s="34"/>
      <c r="AR1299" s="34"/>
      <c r="AS1299" s="34"/>
    </row>
    <row r="1300" spans="1:45" x14ac:dyDescent="0.2">
      <c r="A1300" s="18"/>
      <c r="C1300" s="3" t="s">
        <v>55</v>
      </c>
      <c r="D1300" s="19">
        <v>0</v>
      </c>
      <c r="E1300" s="19">
        <f>[1]TOBEPAID!E984/1000</f>
        <v>0</v>
      </c>
      <c r="F1300" s="19">
        <f>[1]TOBEPAID!F984/1000</f>
        <v>0</v>
      </c>
      <c r="G1300" s="19">
        <f>[1]TOBEPAID!G984/1000</f>
        <v>0</v>
      </c>
      <c r="H1300" s="19">
        <v>0</v>
      </c>
      <c r="I1300" s="19">
        <f>[1]TOBEPAID!I984/1000</f>
        <v>0</v>
      </c>
      <c r="J1300" s="19">
        <f>[1]TOBEPAID!J984/1000</f>
        <v>0</v>
      </c>
      <c r="K1300" s="19">
        <f>[1]TOBEPAID!K984/1000</f>
        <v>0</v>
      </c>
      <c r="L1300" s="19">
        <f>[1]TOBEPAID!L984/1000</f>
        <v>0</v>
      </c>
      <c r="M1300" s="19">
        <f>[1]TOBEPAID!M984/1000</f>
        <v>0</v>
      </c>
      <c r="N1300" s="19">
        <f>[1]TOBEPAID!N984/1000</f>
        <v>0</v>
      </c>
      <c r="O1300" s="19">
        <f>[1]TOBEPAID!O984/1000</f>
        <v>0</v>
      </c>
      <c r="P1300" s="19">
        <f>[1]TOBEPAID!P984/1000</f>
        <v>0</v>
      </c>
      <c r="Q1300" s="19">
        <f>[1]TOBEPAID!Q984/1000</f>
        <v>0</v>
      </c>
      <c r="R1300" s="19">
        <v>0</v>
      </c>
      <c r="S1300" s="19">
        <f>[1]TOBEPAID!S984/1000</f>
        <v>0</v>
      </c>
      <c r="T1300" s="19">
        <f>[1]TOBEPAID!T984/1000</f>
        <v>0</v>
      </c>
      <c r="U1300" s="19">
        <f>[1]TOBEPAID!U984/1000</f>
        <v>0</v>
      </c>
      <c r="V1300" s="19">
        <f>[1]TOBEPAID!V984/1000</f>
        <v>0</v>
      </c>
      <c r="W1300" s="19">
        <f>[1]TOBEPAID!W984/1000</f>
        <v>0</v>
      </c>
      <c r="X1300" s="19">
        <f>[1]TOBEPAID!X984/1000</f>
        <v>0</v>
      </c>
      <c r="Y1300" s="19">
        <f t="shared" si="245"/>
        <v>0</v>
      </c>
      <c r="Z1300" s="19">
        <f t="shared" si="246"/>
        <v>0</v>
      </c>
      <c r="AA1300" s="19">
        <f>[1]TOBEPAID!AA984/1000</f>
        <v>0</v>
      </c>
      <c r="AB1300" s="19">
        <f>[1]TOBEPAID!AB984/1000</f>
        <v>7242</v>
      </c>
      <c r="AC1300" s="19"/>
      <c r="AD1300" s="19"/>
      <c r="AF1300" s="34"/>
      <c r="AG1300" s="34"/>
      <c r="AH1300" s="34"/>
      <c r="AI1300" s="34"/>
      <c r="AJ1300" s="34"/>
      <c r="AK1300" s="34"/>
      <c r="AL1300" s="34"/>
      <c r="AM1300" s="34"/>
      <c r="AN1300" s="34"/>
      <c r="AO1300" s="34"/>
      <c r="AP1300" s="34"/>
      <c r="AQ1300" s="34"/>
      <c r="AR1300" s="34"/>
      <c r="AS1300" s="34"/>
    </row>
    <row r="1301" spans="1:45" x14ac:dyDescent="0.2">
      <c r="A1301" s="18"/>
      <c r="C1301" s="3" t="s">
        <v>88</v>
      </c>
      <c r="D1301" s="19">
        <v>0</v>
      </c>
      <c r="E1301" s="19">
        <f>[1]TOBEPAID!E985/1000</f>
        <v>0</v>
      </c>
      <c r="F1301" s="19">
        <f>[1]TOBEPAID!F985/1000</f>
        <v>0</v>
      </c>
      <c r="G1301" s="19">
        <f>[1]TOBEPAID!G985/1000</f>
        <v>0</v>
      </c>
      <c r="H1301" s="19">
        <v>0</v>
      </c>
      <c r="I1301" s="19">
        <f>[1]TOBEPAID!I985/1000</f>
        <v>0</v>
      </c>
      <c r="J1301" s="19">
        <f>[1]TOBEPAID!J985/1000</f>
        <v>0</v>
      </c>
      <c r="K1301" s="19">
        <f>[1]TOBEPAID!K985/1000</f>
        <v>0</v>
      </c>
      <c r="L1301" s="19">
        <f>[1]TOBEPAID!L985/1000</f>
        <v>0</v>
      </c>
      <c r="M1301" s="19">
        <f>[1]TOBEPAID!M985/1000</f>
        <v>0</v>
      </c>
      <c r="N1301" s="19">
        <f>[1]TOBEPAID!N985/1000</f>
        <v>0</v>
      </c>
      <c r="O1301" s="19">
        <f>[1]TOBEPAID!O985/1000</f>
        <v>0</v>
      </c>
      <c r="P1301" s="19">
        <f>[1]TOBEPAID!P985/1000</f>
        <v>0</v>
      </c>
      <c r="Q1301" s="19">
        <f>[1]TOBEPAID!Q985/1000</f>
        <v>0</v>
      </c>
      <c r="R1301" s="19">
        <v>0</v>
      </c>
      <c r="S1301" s="19">
        <f>[1]TOBEPAID!S985/1000</f>
        <v>0</v>
      </c>
      <c r="T1301" s="19">
        <f>[1]TOBEPAID!T985/1000</f>
        <v>0</v>
      </c>
      <c r="U1301" s="19">
        <f>[1]TOBEPAID!U985/1000</f>
        <v>0</v>
      </c>
      <c r="V1301" s="19">
        <f>[1]TOBEPAID!V985/1000</f>
        <v>0</v>
      </c>
      <c r="W1301" s="19">
        <f>[1]TOBEPAID!W985/1000</f>
        <v>0</v>
      </c>
      <c r="X1301" s="19">
        <f>[1]TOBEPAID!X985/1000</f>
        <v>0</v>
      </c>
      <c r="Y1301" s="19">
        <f t="shared" si="245"/>
        <v>0</v>
      </c>
      <c r="Z1301" s="19">
        <f t="shared" si="246"/>
        <v>0</v>
      </c>
      <c r="AA1301" s="19">
        <f>[1]TOBEPAID!AA985/1000</f>
        <v>0</v>
      </c>
      <c r="AB1301" s="19">
        <f>[1]TOBEPAID!AB985/1000</f>
        <v>709.70447000000001</v>
      </c>
      <c r="AC1301" s="19"/>
      <c r="AD1301" s="19"/>
      <c r="AF1301" s="34"/>
      <c r="AG1301" s="34"/>
      <c r="AH1301" s="34"/>
      <c r="AI1301" s="34"/>
      <c r="AJ1301" s="34"/>
      <c r="AK1301" s="34"/>
      <c r="AL1301" s="34"/>
      <c r="AM1301" s="34"/>
      <c r="AN1301" s="34"/>
      <c r="AO1301" s="34"/>
      <c r="AP1301" s="34"/>
      <c r="AQ1301" s="34"/>
      <c r="AR1301" s="34"/>
      <c r="AS1301" s="34"/>
    </row>
    <row r="1302" spans="1:45" x14ac:dyDescent="0.2">
      <c r="A1302" s="18"/>
      <c r="D1302" s="21" t="s">
        <v>57</v>
      </c>
      <c r="E1302" s="21" t="s">
        <v>57</v>
      </c>
      <c r="F1302" s="21" t="s">
        <v>57</v>
      </c>
      <c r="G1302" s="21"/>
      <c r="H1302" s="21" t="s">
        <v>57</v>
      </c>
      <c r="I1302" s="21" t="s">
        <v>57</v>
      </c>
      <c r="J1302" s="21" t="s">
        <v>57</v>
      </c>
      <c r="K1302" s="21" t="s">
        <v>57</v>
      </c>
      <c r="L1302" s="21" t="s">
        <v>57</v>
      </c>
      <c r="M1302" s="21"/>
      <c r="N1302" s="21" t="s">
        <v>57</v>
      </c>
      <c r="O1302" s="21" t="s">
        <v>57</v>
      </c>
      <c r="P1302" s="21" t="s">
        <v>57</v>
      </c>
      <c r="Q1302" s="21"/>
      <c r="R1302" s="21" t="s">
        <v>57</v>
      </c>
      <c r="S1302" s="21" t="s">
        <v>57</v>
      </c>
      <c r="T1302" s="21" t="s">
        <v>57</v>
      </c>
      <c r="U1302" s="21" t="s">
        <v>57</v>
      </c>
      <c r="V1302" s="21" t="s">
        <v>57</v>
      </c>
      <c r="W1302" s="21"/>
      <c r="X1302" s="21" t="s">
        <v>57</v>
      </c>
      <c r="Y1302" s="21" t="s">
        <v>57</v>
      </c>
      <c r="Z1302" s="21" t="s">
        <v>57</v>
      </c>
      <c r="AA1302" s="21" t="s">
        <v>57</v>
      </c>
      <c r="AB1302" s="21" t="s">
        <v>57</v>
      </c>
      <c r="AC1302" s="21"/>
      <c r="AD1302" s="21"/>
      <c r="AF1302" s="34"/>
      <c r="AG1302" s="34"/>
      <c r="AH1302" s="34"/>
      <c r="AI1302" s="34"/>
      <c r="AJ1302" s="34"/>
      <c r="AK1302" s="34"/>
      <c r="AL1302" s="34"/>
      <c r="AM1302" s="34"/>
      <c r="AN1302" s="34"/>
      <c r="AO1302" s="34"/>
      <c r="AP1302" s="34"/>
      <c r="AQ1302" s="34"/>
      <c r="AR1302" s="34"/>
      <c r="AS1302" s="34"/>
    </row>
    <row r="1303" spans="1:45" x14ac:dyDescent="0.2">
      <c r="A1303" s="18"/>
      <c r="D1303" s="35">
        <f>SUM(D1291:D1301)</f>
        <v>314460.22600000002</v>
      </c>
      <c r="E1303" s="35">
        <f>SUM(E1291:E1301)</f>
        <v>5778.35592</v>
      </c>
      <c r="F1303" s="35">
        <f>SUM(F1291:F1301)</f>
        <v>0</v>
      </c>
      <c r="G1303" s="35"/>
      <c r="H1303" s="35">
        <f>SUM(H1291:H1301)</f>
        <v>290444.25912000006</v>
      </c>
      <c r="I1303" s="35">
        <f>SUM(I1291:I1301)</f>
        <v>0</v>
      </c>
      <c r="J1303" s="35">
        <f>SUM(J1291:J1301)</f>
        <v>0</v>
      </c>
      <c r="K1303" s="35">
        <f>SUM(K1291:K1301)</f>
        <v>0</v>
      </c>
      <c r="L1303" s="35">
        <f>SUM(L1291:L1301)</f>
        <v>0</v>
      </c>
      <c r="M1303" s="35"/>
      <c r="N1303" s="35">
        <f>SUM(N1291:N1301)</f>
        <v>5778.35592</v>
      </c>
      <c r="O1303" s="35">
        <f>SUM(O1291:O1301)</f>
        <v>0</v>
      </c>
      <c r="P1303" s="35">
        <f>SUM(P1291:P1301)</f>
        <v>0</v>
      </c>
      <c r="Q1303" s="35"/>
      <c r="R1303" s="35">
        <f>SUM(R1291:R1301)</f>
        <v>0</v>
      </c>
      <c r="S1303" s="35">
        <f>SUM(S1291:S1301)</f>
        <v>0</v>
      </c>
      <c r="T1303" s="35">
        <f>SUM(T1291:T1301)</f>
        <v>0</v>
      </c>
      <c r="U1303" s="35">
        <f>SUM(U1291:U1301)</f>
        <v>0</v>
      </c>
      <c r="V1303" s="35">
        <f>SUM(V1291:V1301)</f>
        <v>0</v>
      </c>
      <c r="W1303" s="35"/>
      <c r="X1303" s="35">
        <f>SUM(X1291:X1301)</f>
        <v>0</v>
      </c>
      <c r="Y1303" s="35">
        <f>SUM(Y1291:Y1301)</f>
        <v>290444.25912000006</v>
      </c>
      <c r="Z1303" s="35">
        <f>SUM(Z1291:Z1301)</f>
        <v>24015.966879999993</v>
      </c>
      <c r="AA1303" s="35">
        <f>SUM(AA1291:AA1301)</f>
        <v>5778.35592</v>
      </c>
      <c r="AB1303" s="35">
        <f>SUM(AB1291:AB1301)</f>
        <v>59681.871329999994</v>
      </c>
      <c r="AC1303" s="35"/>
      <c r="AD1303" s="35"/>
      <c r="AF1303" s="34"/>
      <c r="AG1303" s="34"/>
      <c r="AH1303" s="34"/>
      <c r="AI1303" s="34"/>
      <c r="AJ1303" s="34"/>
      <c r="AK1303" s="34"/>
      <c r="AL1303" s="34"/>
      <c r="AM1303" s="34"/>
      <c r="AN1303" s="34"/>
      <c r="AO1303" s="34"/>
      <c r="AP1303" s="34"/>
      <c r="AQ1303" s="34"/>
      <c r="AR1303" s="34"/>
      <c r="AS1303" s="34"/>
    </row>
    <row r="1304" spans="1:45" x14ac:dyDescent="0.2">
      <c r="A1304" s="18"/>
      <c r="D1304" s="21" t="s">
        <v>57</v>
      </c>
      <c r="E1304" s="21" t="s">
        <v>57</v>
      </c>
      <c r="F1304" s="21" t="s">
        <v>57</v>
      </c>
      <c r="G1304" s="21"/>
      <c r="H1304" s="21" t="s">
        <v>57</v>
      </c>
      <c r="I1304" s="21" t="s">
        <v>57</v>
      </c>
      <c r="J1304" s="21" t="s">
        <v>57</v>
      </c>
      <c r="K1304" s="21" t="s">
        <v>57</v>
      </c>
      <c r="L1304" s="21" t="s">
        <v>57</v>
      </c>
      <c r="M1304" s="21"/>
      <c r="N1304" s="21" t="s">
        <v>57</v>
      </c>
      <c r="O1304" s="21" t="s">
        <v>57</v>
      </c>
      <c r="P1304" s="21" t="s">
        <v>57</v>
      </c>
      <c r="Q1304" s="21"/>
      <c r="R1304" s="21" t="s">
        <v>57</v>
      </c>
      <c r="S1304" s="21" t="s">
        <v>57</v>
      </c>
      <c r="T1304" s="21" t="s">
        <v>57</v>
      </c>
      <c r="U1304" s="21" t="s">
        <v>57</v>
      </c>
      <c r="V1304" s="21" t="s">
        <v>57</v>
      </c>
      <c r="W1304" s="21"/>
      <c r="X1304" s="21" t="s">
        <v>57</v>
      </c>
      <c r="Y1304" s="21" t="s">
        <v>57</v>
      </c>
      <c r="Z1304" s="21" t="s">
        <v>57</v>
      </c>
      <c r="AA1304" s="21" t="s">
        <v>57</v>
      </c>
      <c r="AB1304" s="21" t="s">
        <v>57</v>
      </c>
      <c r="AC1304" s="21"/>
      <c r="AD1304" s="21"/>
      <c r="AF1304" s="34"/>
      <c r="AG1304" s="34"/>
      <c r="AH1304" s="34"/>
      <c r="AI1304" s="34"/>
      <c r="AJ1304" s="34"/>
      <c r="AK1304" s="34"/>
      <c r="AL1304" s="34"/>
      <c r="AM1304" s="34"/>
      <c r="AN1304" s="34"/>
      <c r="AO1304" s="34"/>
      <c r="AP1304" s="34"/>
      <c r="AQ1304" s="34"/>
      <c r="AR1304" s="34"/>
      <c r="AS1304" s="34"/>
    </row>
    <row r="1305" spans="1:45" x14ac:dyDescent="0.2">
      <c r="A1305" s="18">
        <v>102</v>
      </c>
      <c r="B1305" s="3" t="s">
        <v>361</v>
      </c>
      <c r="C1305" s="17" t="s">
        <v>51</v>
      </c>
      <c r="D1305" s="19">
        <f>5068000/1000</f>
        <v>5068</v>
      </c>
      <c r="E1305" s="19">
        <f>[1]TOBEPAID!E989/1000</f>
        <v>0</v>
      </c>
      <c r="F1305" s="19">
        <f>[1]TOBEPAID!F989/1000</f>
        <v>0</v>
      </c>
      <c r="G1305" s="19">
        <f>[1]TOBEPAID!G989/1000</f>
        <v>0</v>
      </c>
      <c r="H1305" s="19">
        <f>4650000/1000</f>
        <v>4650</v>
      </c>
      <c r="I1305" s="19">
        <f>[1]TOBEPAID!I989/1000</f>
        <v>0</v>
      </c>
      <c r="J1305" s="19">
        <f>[1]TOBEPAID!J989/1000</f>
        <v>0</v>
      </c>
      <c r="K1305" s="19">
        <f>[1]TOBEPAID!K989/1000</f>
        <v>0</v>
      </c>
      <c r="L1305" s="19">
        <f>[1]TOBEPAID!L989/1000</f>
        <v>0</v>
      </c>
      <c r="M1305" s="19">
        <f>[1]TOBEPAID!M989/1000</f>
        <v>0</v>
      </c>
      <c r="N1305" s="19">
        <f>[1]TOBEPAID!N989/1000</f>
        <v>0</v>
      </c>
      <c r="O1305" s="19">
        <f>[1]TOBEPAID!O989/1000</f>
        <v>0</v>
      </c>
      <c r="P1305" s="19">
        <f>[1]TOBEPAID!P989/1000</f>
        <v>0</v>
      </c>
      <c r="Q1305" s="19">
        <f>[1]TOBEPAID!Q989/1000</f>
        <v>0</v>
      </c>
      <c r="R1305" s="19">
        <v>0</v>
      </c>
      <c r="S1305" s="19">
        <f>[1]TOBEPAID!S989/1000</f>
        <v>0</v>
      </c>
      <c r="T1305" s="19">
        <f>[1]TOBEPAID!T989/1000</f>
        <v>0</v>
      </c>
      <c r="U1305" s="19">
        <f>[1]TOBEPAID!U989/1000</f>
        <v>0</v>
      </c>
      <c r="V1305" s="19">
        <f>[1]TOBEPAID!V989/1000</f>
        <v>0</v>
      </c>
      <c r="W1305" s="19">
        <f>[1]TOBEPAID!W989/1000</f>
        <v>0</v>
      </c>
      <c r="X1305" s="19">
        <f>[1]TOBEPAID!X989/1000</f>
        <v>0</v>
      </c>
      <c r="Y1305" s="19">
        <f>+H1305+R1305</f>
        <v>4650</v>
      </c>
      <c r="Z1305" s="19">
        <f t="shared" ref="Z1305:Z1313" si="247">+D1305-Y1305</f>
        <v>418</v>
      </c>
      <c r="AA1305" s="19">
        <f>[1]TOBEPAID!AA989/1000</f>
        <v>0</v>
      </c>
      <c r="AB1305" s="19">
        <f>[1]TOBEPAID!AB989/1000</f>
        <v>0</v>
      </c>
      <c r="AC1305" s="19"/>
      <c r="AD1305" s="19"/>
      <c r="AF1305" s="34"/>
      <c r="AG1305" s="34"/>
      <c r="AH1305" s="34"/>
      <c r="AI1305" s="34"/>
      <c r="AJ1305" s="34"/>
      <c r="AK1305" s="34"/>
      <c r="AL1305" s="34"/>
      <c r="AM1305" s="34"/>
      <c r="AN1305" s="34"/>
      <c r="AO1305" s="34"/>
      <c r="AP1305" s="34"/>
      <c r="AQ1305" s="34"/>
      <c r="AR1305" s="34"/>
    </row>
    <row r="1306" spans="1:45" x14ac:dyDescent="0.2">
      <c r="A1306" s="18"/>
      <c r="C1306" s="3" t="s">
        <v>52</v>
      </c>
      <c r="D1306" s="19">
        <f>2580531/1000</f>
        <v>2580.5309999999999</v>
      </c>
      <c r="E1306" s="19">
        <f>[1]TOBEPAID!E990/1000</f>
        <v>2580.5309999999999</v>
      </c>
      <c r="F1306" s="19">
        <f>[1]TOBEPAID!F990/1000</f>
        <v>0</v>
      </c>
      <c r="G1306" s="19">
        <f>[1]TOBEPAID!G990/1000</f>
        <v>0</v>
      </c>
      <c r="H1306" s="19">
        <f>2580531/1000</f>
        <v>2580.5309999999999</v>
      </c>
      <c r="I1306" s="19">
        <f>[1]TOBEPAID!I990/1000</f>
        <v>0</v>
      </c>
      <c r="J1306" s="19">
        <f>[1]TOBEPAID!J990/1000</f>
        <v>0</v>
      </c>
      <c r="K1306" s="19">
        <f>[1]TOBEPAID!K990/1000</f>
        <v>0</v>
      </c>
      <c r="L1306" s="19">
        <f>[1]TOBEPAID!L990/1000</f>
        <v>0</v>
      </c>
      <c r="M1306" s="19">
        <f>[1]TOBEPAID!M990/1000</f>
        <v>0</v>
      </c>
      <c r="N1306" s="19">
        <f>[1]TOBEPAID!N990/1000</f>
        <v>2580.5309999999999</v>
      </c>
      <c r="O1306" s="19">
        <f>[1]TOBEPAID!O990/1000</f>
        <v>0</v>
      </c>
      <c r="P1306" s="19">
        <f>[1]TOBEPAID!P990/1000</f>
        <v>0</v>
      </c>
      <c r="Q1306" s="19">
        <f>[1]TOBEPAID!Q990/1000</f>
        <v>0</v>
      </c>
      <c r="R1306" s="19">
        <v>0</v>
      </c>
      <c r="S1306" s="19">
        <f>[1]TOBEPAID!S990/1000</f>
        <v>0</v>
      </c>
      <c r="T1306" s="19">
        <f>[1]TOBEPAID!T990/1000</f>
        <v>0</v>
      </c>
      <c r="U1306" s="19">
        <f>[1]TOBEPAID!U990/1000</f>
        <v>0</v>
      </c>
      <c r="V1306" s="19">
        <f>[1]TOBEPAID!V990/1000</f>
        <v>0</v>
      </c>
      <c r="W1306" s="19">
        <f>[1]TOBEPAID!W990/1000</f>
        <v>0</v>
      </c>
      <c r="X1306" s="19">
        <f>[1]TOBEPAID!X990/1000</f>
        <v>0</v>
      </c>
      <c r="Y1306" s="19">
        <f t="shared" ref="Y1306:Y1313" si="248">+H1306+R1306</f>
        <v>2580.5309999999999</v>
      </c>
      <c r="Z1306" s="19">
        <f t="shared" si="247"/>
        <v>0</v>
      </c>
      <c r="AA1306" s="19">
        <f>[1]TOBEPAID!AA990/1000</f>
        <v>2580.5309999999999</v>
      </c>
      <c r="AB1306" s="19">
        <f>[1]TOBEPAID!AB990/1000</f>
        <v>0</v>
      </c>
      <c r="AC1306" s="19"/>
      <c r="AD1306" s="19"/>
    </row>
    <row r="1307" spans="1:45" x14ac:dyDescent="0.2">
      <c r="A1307" s="18"/>
      <c r="C1307" s="3" t="s">
        <v>180</v>
      </c>
      <c r="D1307" s="19">
        <f>117790000/1000</f>
        <v>117790</v>
      </c>
      <c r="E1307" s="19"/>
      <c r="F1307" s="19"/>
      <c r="G1307" s="19"/>
      <c r="H1307" s="19">
        <f>(91936819+25853180.15)/1000</f>
        <v>117789.99915</v>
      </c>
      <c r="I1307" s="19"/>
      <c r="J1307" s="19"/>
      <c r="K1307" s="19"/>
      <c r="L1307" s="19"/>
      <c r="M1307" s="19"/>
      <c r="N1307" s="19"/>
      <c r="O1307" s="19"/>
      <c r="P1307" s="19"/>
      <c r="Q1307" s="19"/>
      <c r="R1307" s="19">
        <v>0</v>
      </c>
      <c r="S1307" s="19"/>
      <c r="T1307" s="19"/>
      <c r="U1307" s="19"/>
      <c r="V1307" s="19"/>
      <c r="W1307" s="19"/>
      <c r="X1307" s="19"/>
      <c r="Y1307" s="19">
        <f t="shared" si="248"/>
        <v>117789.99915</v>
      </c>
      <c r="Z1307" s="19">
        <f t="shared" si="247"/>
        <v>8.4999999671708792E-4</v>
      </c>
      <c r="AA1307" s="19"/>
      <c r="AB1307" s="19"/>
      <c r="AC1307" s="19"/>
      <c r="AD1307" s="19"/>
    </row>
    <row r="1308" spans="1:45" x14ac:dyDescent="0.2">
      <c r="A1308" s="18"/>
      <c r="C1308" s="3" t="s">
        <v>181</v>
      </c>
      <c r="D1308" s="19">
        <f>51140000/1000</f>
        <v>51140</v>
      </c>
      <c r="E1308" s="19"/>
      <c r="F1308" s="19"/>
      <c r="G1308" s="19"/>
      <c r="H1308" s="19">
        <f>2357189.65/1000</f>
        <v>2357.1896499999998</v>
      </c>
      <c r="I1308" s="19"/>
      <c r="J1308" s="19"/>
      <c r="K1308" s="19"/>
      <c r="L1308" s="19"/>
      <c r="M1308" s="19"/>
      <c r="N1308" s="19"/>
      <c r="O1308" s="19"/>
      <c r="P1308" s="19"/>
      <c r="Q1308" s="19"/>
      <c r="R1308" s="19">
        <v>0</v>
      </c>
      <c r="S1308" s="19"/>
      <c r="T1308" s="19"/>
      <c r="U1308" s="19"/>
      <c r="V1308" s="19"/>
      <c r="W1308" s="19"/>
      <c r="X1308" s="19"/>
      <c r="Y1308" s="19">
        <f>+H1308+R1308</f>
        <v>2357.1896499999998</v>
      </c>
      <c r="Z1308" s="19">
        <f t="shared" si="247"/>
        <v>48782.81035</v>
      </c>
      <c r="AA1308" s="19"/>
      <c r="AB1308" s="19"/>
      <c r="AC1308" s="19"/>
      <c r="AD1308" s="19"/>
    </row>
    <row r="1309" spans="1:45" x14ac:dyDescent="0.2">
      <c r="C1309" s="3" t="s">
        <v>197</v>
      </c>
      <c r="D1309" s="19">
        <v>0</v>
      </c>
      <c r="E1309" s="19">
        <f>[1]TOBEPAID!E991/1000</f>
        <v>8725.1204399999988</v>
      </c>
      <c r="F1309" s="19">
        <f>[1]TOBEPAID!F991/1000</f>
        <v>0</v>
      </c>
      <c r="G1309" s="19">
        <f>[1]TOBEPAID!G991/1000</f>
        <v>0</v>
      </c>
      <c r="H1309" s="19">
        <v>0</v>
      </c>
      <c r="I1309" s="19">
        <f>[1]TOBEPAID!I991/1000</f>
        <v>0</v>
      </c>
      <c r="J1309" s="19">
        <f>[1]TOBEPAID!J991/1000</f>
        <v>0</v>
      </c>
      <c r="K1309" s="19">
        <f>[1]TOBEPAID!K991/1000</f>
        <v>0</v>
      </c>
      <c r="L1309" s="19">
        <f>[1]TOBEPAID!L991/1000</f>
        <v>0</v>
      </c>
      <c r="M1309" s="19">
        <f>[1]TOBEPAID!M991/1000</f>
        <v>0</v>
      </c>
      <c r="N1309" s="19">
        <f>[1]TOBEPAID!N991/1000</f>
        <v>8725.1204399999988</v>
      </c>
      <c r="O1309" s="19">
        <f>[1]TOBEPAID!O991/1000</f>
        <v>0</v>
      </c>
      <c r="P1309" s="19">
        <f>[1]TOBEPAID!P991/1000</f>
        <v>0</v>
      </c>
      <c r="Q1309" s="19">
        <f>[1]TOBEPAID!Q991/1000</f>
        <v>0</v>
      </c>
      <c r="R1309" s="19">
        <v>0</v>
      </c>
      <c r="S1309" s="19">
        <f>[1]TOBEPAID!S991/1000</f>
        <v>0</v>
      </c>
      <c r="T1309" s="19">
        <f>[1]TOBEPAID!T991/1000</f>
        <v>0</v>
      </c>
      <c r="U1309" s="19">
        <f>[1]TOBEPAID!U991/1000</f>
        <v>0</v>
      </c>
      <c r="V1309" s="19">
        <f>[1]TOBEPAID!V991/1000</f>
        <v>0</v>
      </c>
      <c r="W1309" s="19">
        <f>[1]TOBEPAID!W991/1000</f>
        <v>0</v>
      </c>
      <c r="X1309" s="19">
        <f>[1]TOBEPAID!X991/1000</f>
        <v>0</v>
      </c>
      <c r="Y1309" s="19">
        <f t="shared" si="248"/>
        <v>0</v>
      </c>
      <c r="Z1309" s="19">
        <f t="shared" si="247"/>
        <v>0</v>
      </c>
      <c r="AA1309" s="19">
        <f>[1]TOBEPAID!AA991/1000</f>
        <v>8725.1204399999988</v>
      </c>
      <c r="AB1309" s="19">
        <f>[1]TOBEPAID!AB991/1000</f>
        <v>0</v>
      </c>
      <c r="AC1309" s="19"/>
      <c r="AD1309" s="19"/>
      <c r="AS1309" s="34"/>
    </row>
    <row r="1310" spans="1:45" x14ac:dyDescent="0.2">
      <c r="C1310" s="3" t="s">
        <v>67</v>
      </c>
      <c r="D1310" s="19">
        <f>561372112.21/1000</f>
        <v>561372.11221000005</v>
      </c>
      <c r="E1310" s="19">
        <f>[1]TOBEPAID!E992/1000</f>
        <v>66096.245569999999</v>
      </c>
      <c r="F1310" s="19">
        <f>[1]TOBEPAID!F992/1000</f>
        <v>5275.8666399999993</v>
      </c>
      <c r="G1310" s="19">
        <f>[1]TOBEPAID!G992/1000</f>
        <v>0</v>
      </c>
      <c r="H1310" s="19">
        <f>561372112.21/1000</f>
        <v>561372.11221000005</v>
      </c>
      <c r="I1310" s="19">
        <f>[1]TOBEPAID!I992/1000</f>
        <v>0</v>
      </c>
      <c r="J1310" s="19">
        <f>[1]TOBEPAID!J992/1000</f>
        <v>0</v>
      </c>
      <c r="K1310" s="19">
        <f>[1]TOBEPAID!K992/1000</f>
        <v>0</v>
      </c>
      <c r="L1310" s="19">
        <f>[1]TOBEPAID!L992/1000</f>
        <v>0</v>
      </c>
      <c r="M1310" s="19">
        <f>[1]TOBEPAID!M992/1000</f>
        <v>0</v>
      </c>
      <c r="N1310" s="19">
        <f>[1]TOBEPAID!N992/1000</f>
        <v>71372.112209999992</v>
      </c>
      <c r="O1310" s="19">
        <f>[1]TOBEPAID!O992/1000</f>
        <v>0</v>
      </c>
      <c r="P1310" s="19">
        <f>[1]TOBEPAID!P992/1000</f>
        <v>0</v>
      </c>
      <c r="Q1310" s="19">
        <f>[1]TOBEPAID!Q992/1000</f>
        <v>0</v>
      </c>
      <c r="R1310" s="19">
        <v>0</v>
      </c>
      <c r="S1310" s="19">
        <f>[1]TOBEPAID!S992/1000</f>
        <v>0</v>
      </c>
      <c r="T1310" s="19">
        <f>[1]TOBEPAID!T992/1000</f>
        <v>0</v>
      </c>
      <c r="U1310" s="19">
        <f>[1]TOBEPAID!U992/1000</f>
        <v>0</v>
      </c>
      <c r="V1310" s="19">
        <f>[1]TOBEPAID!V992/1000</f>
        <v>0</v>
      </c>
      <c r="W1310" s="19">
        <f>[1]TOBEPAID!W992/1000</f>
        <v>0</v>
      </c>
      <c r="X1310" s="19">
        <f>[1]TOBEPAID!X992/1000</f>
        <v>0</v>
      </c>
      <c r="Y1310" s="19">
        <f t="shared" si="248"/>
        <v>561372.11221000005</v>
      </c>
      <c r="Z1310" s="19">
        <f t="shared" si="247"/>
        <v>0</v>
      </c>
      <c r="AA1310" s="19">
        <f>[1]TOBEPAID!AA992/1000</f>
        <v>71372.112209999992</v>
      </c>
      <c r="AB1310" s="19">
        <f>[1]TOBEPAID!AB992/1000</f>
        <v>0</v>
      </c>
      <c r="AC1310" s="19"/>
      <c r="AD1310" s="19"/>
      <c r="AF1310" s="34"/>
      <c r="AG1310" s="34"/>
      <c r="AH1310" s="34"/>
      <c r="AI1310" s="34"/>
      <c r="AJ1310" s="34"/>
      <c r="AK1310" s="34"/>
      <c r="AL1310" s="34"/>
      <c r="AM1310" s="34"/>
      <c r="AN1310" s="34"/>
      <c r="AO1310" s="34"/>
      <c r="AP1310" s="34"/>
      <c r="AQ1310" s="34"/>
      <c r="AR1310" s="34"/>
      <c r="AS1310" s="34"/>
    </row>
    <row r="1311" spans="1:45" x14ac:dyDescent="0.2">
      <c r="C1311" s="3" t="s">
        <v>78</v>
      </c>
      <c r="D1311" s="3">
        <f>6390000/1000</f>
        <v>6390</v>
      </c>
      <c r="H1311" s="3">
        <f>6390000/1000</f>
        <v>6390</v>
      </c>
      <c r="R1311" s="19">
        <v>0</v>
      </c>
      <c r="Y1311" s="19">
        <f t="shared" si="248"/>
        <v>6390</v>
      </c>
      <c r="Z1311" s="19">
        <f t="shared" si="247"/>
        <v>0</v>
      </c>
    </row>
    <row r="1312" spans="1:45" x14ac:dyDescent="0.2">
      <c r="A1312" s="18"/>
      <c r="C1312" s="3" t="s">
        <v>96</v>
      </c>
      <c r="D1312" s="19">
        <f>1088000/1000</f>
        <v>1088</v>
      </c>
      <c r="E1312" s="19">
        <f>[1]TOBEPAID!E993/1000</f>
        <v>0</v>
      </c>
      <c r="F1312" s="19">
        <f>[1]TOBEPAID!F993/1000</f>
        <v>0</v>
      </c>
      <c r="G1312" s="19">
        <f>[1]TOBEPAID!G993/1000</f>
        <v>0</v>
      </c>
      <c r="H1312" s="19">
        <v>0</v>
      </c>
      <c r="I1312" s="19">
        <f>[1]TOBEPAID!I993/1000</f>
        <v>0</v>
      </c>
      <c r="J1312" s="19">
        <f>[1]TOBEPAID!J993/1000</f>
        <v>0</v>
      </c>
      <c r="K1312" s="19">
        <f>[1]TOBEPAID!K993/1000</f>
        <v>0</v>
      </c>
      <c r="L1312" s="19">
        <f>[1]TOBEPAID!L993/1000</f>
        <v>0</v>
      </c>
      <c r="M1312" s="19">
        <f>[1]TOBEPAID!M993/1000</f>
        <v>0</v>
      </c>
      <c r="N1312" s="19">
        <f>[1]TOBEPAID!N993/1000</f>
        <v>0</v>
      </c>
      <c r="O1312" s="19">
        <f>[1]TOBEPAID!O993/1000</f>
        <v>1087.8298500000001</v>
      </c>
      <c r="P1312" s="19">
        <f>[1]TOBEPAID!P993/1000</f>
        <v>0</v>
      </c>
      <c r="Q1312" s="19">
        <f>[1]TOBEPAID!Q993/1000</f>
        <v>0</v>
      </c>
      <c r="R1312" s="19">
        <f>1087829/1000</f>
        <v>1087.829</v>
      </c>
      <c r="S1312" s="19">
        <f>[1]TOBEPAID!S993/1000</f>
        <v>0</v>
      </c>
      <c r="T1312" s="19">
        <f>[1]TOBEPAID!T993/1000</f>
        <v>0</v>
      </c>
      <c r="U1312" s="19">
        <f>[1]TOBEPAID!U993/1000</f>
        <v>0</v>
      </c>
      <c r="V1312" s="19">
        <f>[1]TOBEPAID!V993/1000</f>
        <v>0</v>
      </c>
      <c r="W1312" s="19">
        <f>[1]TOBEPAID!W993/1000</f>
        <v>0</v>
      </c>
      <c r="X1312" s="19">
        <f>[1]TOBEPAID!X993/1000</f>
        <v>1087.8298500000001</v>
      </c>
      <c r="Y1312" s="19">
        <f t="shared" si="248"/>
        <v>1087.829</v>
      </c>
      <c r="Z1312" s="19">
        <f t="shared" si="247"/>
        <v>0.17100000000004911</v>
      </c>
      <c r="AA1312" s="19">
        <f>[1]TOBEPAID!AA993/1000</f>
        <v>1087.8298500000001</v>
      </c>
      <c r="AB1312" s="19">
        <f>[1]TOBEPAID!AB993/1000</f>
        <v>0</v>
      </c>
      <c r="AC1312" s="19"/>
      <c r="AD1312" s="19"/>
      <c r="AF1312" s="34"/>
      <c r="AG1312" s="34"/>
      <c r="AH1312" s="34"/>
      <c r="AI1312" s="34"/>
      <c r="AJ1312" s="34"/>
      <c r="AK1312" s="34"/>
      <c r="AL1312" s="34"/>
      <c r="AM1312" s="34"/>
      <c r="AN1312" s="34"/>
      <c r="AO1312" s="34"/>
      <c r="AP1312" s="34"/>
      <c r="AQ1312" s="34"/>
      <c r="AR1312" s="34"/>
      <c r="AS1312" s="34"/>
    </row>
    <row r="1313" spans="1:45" x14ac:dyDescent="0.2">
      <c r="A1313" s="18"/>
      <c r="C1313" s="3" t="s">
        <v>97</v>
      </c>
      <c r="D1313" s="19">
        <f>698224/1000</f>
        <v>698.22400000000005</v>
      </c>
      <c r="E1313" s="19">
        <f>[1]TOBEPAID!E994/1000</f>
        <v>0</v>
      </c>
      <c r="F1313" s="19">
        <f>[1]TOBEPAID!F994/1000</f>
        <v>0</v>
      </c>
      <c r="G1313" s="19">
        <f>[1]TOBEPAID!G994/1000</f>
        <v>0</v>
      </c>
      <c r="H1313" s="19">
        <v>0</v>
      </c>
      <c r="I1313" s="19">
        <f>[1]TOBEPAID!I994/1000</f>
        <v>0</v>
      </c>
      <c r="J1313" s="19">
        <f>[1]TOBEPAID!J994/1000</f>
        <v>0</v>
      </c>
      <c r="K1313" s="19">
        <f>[1]TOBEPAID!K994/1000</f>
        <v>0</v>
      </c>
      <c r="L1313" s="19">
        <f>[1]TOBEPAID!L994/1000</f>
        <v>0</v>
      </c>
      <c r="M1313" s="19">
        <f>[1]TOBEPAID!M994/1000</f>
        <v>0</v>
      </c>
      <c r="N1313" s="19">
        <f>[1]TOBEPAID!N994/1000</f>
        <v>0</v>
      </c>
      <c r="O1313" s="19">
        <f>[1]TOBEPAID!O994/1000</f>
        <v>698.22444999999993</v>
      </c>
      <c r="P1313" s="19">
        <f>[1]TOBEPAID!P994/1000</f>
        <v>0</v>
      </c>
      <c r="Q1313" s="19">
        <f>[1]TOBEPAID!Q994/1000</f>
        <v>0</v>
      </c>
      <c r="R1313" s="19">
        <f>698224/1000</f>
        <v>698.22400000000005</v>
      </c>
      <c r="S1313" s="19">
        <f>[1]TOBEPAID!S994/1000</f>
        <v>0</v>
      </c>
      <c r="T1313" s="19">
        <f>[1]TOBEPAID!T994/1000</f>
        <v>0</v>
      </c>
      <c r="U1313" s="19">
        <f>[1]TOBEPAID!U994/1000</f>
        <v>0</v>
      </c>
      <c r="V1313" s="19">
        <f>[1]TOBEPAID!V994/1000</f>
        <v>0</v>
      </c>
      <c r="W1313" s="19">
        <f>[1]TOBEPAID!W994/1000</f>
        <v>0</v>
      </c>
      <c r="X1313" s="19">
        <f>[1]TOBEPAID!X994/1000</f>
        <v>698.22444999999993</v>
      </c>
      <c r="Y1313" s="19">
        <f t="shared" si="248"/>
        <v>698.22400000000005</v>
      </c>
      <c r="Z1313" s="19">
        <f t="shared" si="247"/>
        <v>0</v>
      </c>
      <c r="AA1313" s="19">
        <f>[1]TOBEPAID!AA994/1000</f>
        <v>698.22444999999993</v>
      </c>
      <c r="AB1313" s="19">
        <f>[1]TOBEPAID!AB994/1000</f>
        <v>5067.6977100000004</v>
      </c>
      <c r="AC1313" s="19"/>
      <c r="AD1313" s="19"/>
      <c r="AF1313" s="34"/>
      <c r="AG1313" s="34"/>
      <c r="AH1313" s="34"/>
      <c r="AI1313" s="34"/>
      <c r="AJ1313" s="34"/>
      <c r="AK1313" s="34"/>
      <c r="AL1313" s="34"/>
      <c r="AM1313" s="34"/>
      <c r="AN1313" s="34"/>
      <c r="AO1313" s="34"/>
      <c r="AP1313" s="34"/>
      <c r="AQ1313" s="34"/>
      <c r="AR1313" s="34"/>
      <c r="AS1313" s="34"/>
    </row>
    <row r="1314" spans="1:45" x14ac:dyDescent="0.2">
      <c r="A1314" s="18"/>
      <c r="D1314" s="21" t="s">
        <v>57</v>
      </c>
      <c r="E1314" s="21" t="s">
        <v>57</v>
      </c>
      <c r="F1314" s="21" t="s">
        <v>57</v>
      </c>
      <c r="G1314" s="21"/>
      <c r="H1314" s="21" t="s">
        <v>57</v>
      </c>
      <c r="I1314" s="21" t="s">
        <v>57</v>
      </c>
      <c r="J1314" s="21" t="s">
        <v>57</v>
      </c>
      <c r="K1314" s="21" t="s">
        <v>57</v>
      </c>
      <c r="L1314" s="21" t="s">
        <v>57</v>
      </c>
      <c r="M1314" s="21"/>
      <c r="N1314" s="21" t="s">
        <v>57</v>
      </c>
      <c r="O1314" s="21" t="s">
        <v>57</v>
      </c>
      <c r="P1314" s="21" t="s">
        <v>57</v>
      </c>
      <c r="Q1314" s="21"/>
      <c r="R1314" s="21" t="s">
        <v>57</v>
      </c>
      <c r="S1314" s="21" t="s">
        <v>57</v>
      </c>
      <c r="T1314" s="21" t="s">
        <v>57</v>
      </c>
      <c r="U1314" s="21" t="s">
        <v>57</v>
      </c>
      <c r="V1314" s="21" t="s">
        <v>57</v>
      </c>
      <c r="W1314" s="21"/>
      <c r="X1314" s="21" t="s">
        <v>57</v>
      </c>
      <c r="Y1314" s="21" t="s">
        <v>57</v>
      </c>
      <c r="Z1314" s="21" t="s">
        <v>57</v>
      </c>
      <c r="AA1314" s="21" t="s">
        <v>57</v>
      </c>
      <c r="AB1314" s="21" t="s">
        <v>57</v>
      </c>
      <c r="AC1314" s="21"/>
      <c r="AD1314" s="21"/>
      <c r="AF1314" s="34"/>
      <c r="AG1314" s="34"/>
      <c r="AH1314" s="34"/>
      <c r="AI1314" s="34"/>
      <c r="AJ1314" s="34"/>
      <c r="AK1314" s="34"/>
      <c r="AL1314" s="34"/>
      <c r="AM1314" s="34"/>
      <c r="AN1314" s="34"/>
      <c r="AO1314" s="34"/>
      <c r="AP1314" s="34"/>
      <c r="AQ1314" s="34"/>
      <c r="AR1314" s="34"/>
      <c r="AS1314" s="34"/>
    </row>
    <row r="1315" spans="1:45" x14ac:dyDescent="0.2">
      <c r="A1315" s="18"/>
      <c r="D1315" s="35">
        <f>SUM(D1305:D1313)</f>
        <v>746126.86721000017</v>
      </c>
      <c r="E1315" s="35">
        <f>SUM(E1305:E1313)</f>
        <v>77401.897010000001</v>
      </c>
      <c r="F1315" s="35">
        <f>SUM(F1305:F1313)</f>
        <v>5275.8666399999993</v>
      </c>
      <c r="G1315" s="35"/>
      <c r="H1315" s="35">
        <f>SUM(H1305:H1313)</f>
        <v>695139.83201000001</v>
      </c>
      <c r="I1315" s="35">
        <f>SUM(I1305:I1313)</f>
        <v>0</v>
      </c>
      <c r="J1315" s="35">
        <f>SUM(J1305:J1313)</f>
        <v>0</v>
      </c>
      <c r="K1315" s="35">
        <f>SUM(K1305:K1313)</f>
        <v>0</v>
      </c>
      <c r="L1315" s="35">
        <f>SUM(L1305:L1313)</f>
        <v>0</v>
      </c>
      <c r="M1315" s="35"/>
      <c r="N1315" s="35">
        <f>SUM(N1305:N1313)</f>
        <v>82677.763649999994</v>
      </c>
      <c r="O1315" s="35">
        <f>SUM(O1305:O1313)</f>
        <v>1786.0543</v>
      </c>
      <c r="P1315" s="35">
        <f>SUM(P1305:P1313)</f>
        <v>0</v>
      </c>
      <c r="Q1315" s="35"/>
      <c r="R1315" s="35">
        <f>SUM(R1305:R1313)</f>
        <v>1786.0529999999999</v>
      </c>
      <c r="S1315" s="35">
        <f>SUM(S1305:S1313)</f>
        <v>0</v>
      </c>
      <c r="T1315" s="35">
        <f>SUM(T1305:T1313)</f>
        <v>0</v>
      </c>
      <c r="U1315" s="35">
        <f>SUM(U1305:U1313)</f>
        <v>0</v>
      </c>
      <c r="V1315" s="35">
        <f>SUM(V1305:V1313)</f>
        <v>0</v>
      </c>
      <c r="W1315" s="35"/>
      <c r="X1315" s="35">
        <f>SUM(X1305:X1313)</f>
        <v>1786.0543</v>
      </c>
      <c r="Y1315" s="35">
        <f>SUM(Y1305:Y1313)</f>
        <v>696925.88501000009</v>
      </c>
      <c r="Z1315" s="35">
        <f>SUM(Z1305:Z1313)</f>
        <v>49200.982199999999</v>
      </c>
      <c r="AA1315" s="35">
        <f>SUM(AA1305:AA1313)</f>
        <v>84463.817949999982</v>
      </c>
      <c r="AB1315" s="35">
        <f>SUM(AB1305:AB1313)</f>
        <v>5067.6977100000004</v>
      </c>
      <c r="AC1315" s="35"/>
      <c r="AD1315" s="35"/>
      <c r="AF1315" s="34"/>
      <c r="AG1315" s="34"/>
      <c r="AH1315" s="34"/>
      <c r="AI1315" s="34"/>
      <c r="AJ1315" s="34"/>
      <c r="AK1315" s="34"/>
      <c r="AL1315" s="34"/>
      <c r="AM1315" s="34"/>
      <c r="AN1315" s="34"/>
      <c r="AO1315" s="34"/>
      <c r="AP1315" s="34"/>
      <c r="AQ1315" s="34"/>
      <c r="AR1315" s="34"/>
      <c r="AS1315" s="34"/>
    </row>
    <row r="1316" spans="1:45" x14ac:dyDescent="0.2">
      <c r="A1316" s="18"/>
      <c r="D1316" s="21" t="s">
        <v>57</v>
      </c>
      <c r="E1316" s="21" t="s">
        <v>57</v>
      </c>
      <c r="F1316" s="21" t="s">
        <v>57</v>
      </c>
      <c r="G1316" s="21"/>
      <c r="H1316" s="21" t="s">
        <v>57</v>
      </c>
      <c r="I1316" s="21" t="s">
        <v>57</v>
      </c>
      <c r="J1316" s="21" t="s">
        <v>57</v>
      </c>
      <c r="K1316" s="21" t="s">
        <v>57</v>
      </c>
      <c r="L1316" s="21" t="s">
        <v>57</v>
      </c>
      <c r="M1316" s="21"/>
      <c r="N1316" s="21" t="s">
        <v>57</v>
      </c>
      <c r="O1316" s="21" t="s">
        <v>57</v>
      </c>
      <c r="P1316" s="21" t="s">
        <v>57</v>
      </c>
      <c r="Q1316" s="21"/>
      <c r="R1316" s="21" t="s">
        <v>57</v>
      </c>
      <c r="S1316" s="21" t="s">
        <v>57</v>
      </c>
      <c r="T1316" s="21" t="s">
        <v>57</v>
      </c>
      <c r="U1316" s="21" t="s">
        <v>57</v>
      </c>
      <c r="V1316" s="21" t="s">
        <v>57</v>
      </c>
      <c r="W1316" s="21"/>
      <c r="X1316" s="21" t="s">
        <v>57</v>
      </c>
      <c r="Y1316" s="21" t="s">
        <v>57</v>
      </c>
      <c r="Z1316" s="21" t="s">
        <v>57</v>
      </c>
      <c r="AA1316" s="21" t="s">
        <v>57</v>
      </c>
      <c r="AB1316" s="21" t="s">
        <v>57</v>
      </c>
      <c r="AC1316" s="21"/>
      <c r="AD1316" s="21"/>
      <c r="AF1316" s="34"/>
      <c r="AG1316" s="34"/>
      <c r="AH1316" s="34"/>
      <c r="AI1316" s="34"/>
      <c r="AJ1316" s="34"/>
      <c r="AK1316" s="34"/>
      <c r="AL1316" s="34"/>
      <c r="AM1316" s="34"/>
      <c r="AN1316" s="34"/>
      <c r="AO1316" s="34"/>
      <c r="AP1316" s="34"/>
      <c r="AQ1316" s="34"/>
      <c r="AR1316" s="34"/>
    </row>
    <row r="1317" spans="1:45" x14ac:dyDescent="0.2">
      <c r="A1317" s="18">
        <v>103</v>
      </c>
      <c r="B1317" s="3" t="s">
        <v>362</v>
      </c>
      <c r="C1317" s="17" t="s">
        <v>51</v>
      </c>
      <c r="D1317" s="19">
        <f>470216/1000</f>
        <v>470.21600000000001</v>
      </c>
      <c r="E1317" s="19">
        <f>[1]TOBEPAID!E998/1000</f>
        <v>0</v>
      </c>
      <c r="F1317" s="19">
        <f>[1]TOBEPAID!F998/1000</f>
        <v>0</v>
      </c>
      <c r="G1317" s="19">
        <f>[1]TOBEPAID!G998/1000</f>
        <v>0</v>
      </c>
      <c r="H1317" s="19">
        <f>452924/1000</f>
        <v>452.92399999999998</v>
      </c>
      <c r="I1317" s="19">
        <f>[1]TOBEPAID!I998/1000</f>
        <v>0</v>
      </c>
      <c r="J1317" s="19">
        <f>[1]TOBEPAID!J998/1000</f>
        <v>0</v>
      </c>
      <c r="K1317" s="19">
        <f>[1]TOBEPAID!K998/1000</f>
        <v>0</v>
      </c>
      <c r="L1317" s="19">
        <f>[1]TOBEPAID!L998/1000</f>
        <v>0</v>
      </c>
      <c r="M1317" s="19">
        <f>[1]TOBEPAID!M998/1000</f>
        <v>0</v>
      </c>
      <c r="N1317" s="19">
        <f>[1]TOBEPAID!N998/1000</f>
        <v>0</v>
      </c>
      <c r="O1317" s="19">
        <f>[1]TOBEPAID!O998/1000</f>
        <v>17.292200000000005</v>
      </c>
      <c r="P1317" s="19">
        <f>[1]TOBEPAID!P998/1000</f>
        <v>0</v>
      </c>
      <c r="Q1317" s="19">
        <f>[1]TOBEPAID!Q998/1000</f>
        <v>0</v>
      </c>
      <c r="R1317" s="19">
        <v>17.292000000000002</v>
      </c>
      <c r="S1317" s="19">
        <f>[1]TOBEPAID!S998/1000</f>
        <v>0</v>
      </c>
      <c r="T1317" s="19">
        <f>[1]TOBEPAID!T998/1000</f>
        <v>0</v>
      </c>
      <c r="U1317" s="19">
        <f>[1]TOBEPAID!U998/1000</f>
        <v>0</v>
      </c>
      <c r="V1317" s="19">
        <f>[1]TOBEPAID!V998/1000</f>
        <v>0</v>
      </c>
      <c r="W1317" s="19">
        <f>[1]TOBEPAID!W998/1000</f>
        <v>0</v>
      </c>
      <c r="X1317" s="19">
        <f>[1]TOBEPAID!X998/1000</f>
        <v>17.292200000000005</v>
      </c>
      <c r="Y1317" s="19">
        <f>+H1317+R1317</f>
        <v>470.21600000000001</v>
      </c>
      <c r="Z1317" s="19">
        <f>+D1317-Y1317</f>
        <v>0</v>
      </c>
      <c r="AA1317" s="19">
        <f>[1]TOBEPAID!AA998/1000</f>
        <v>17.292200000000005</v>
      </c>
      <c r="AB1317" s="19">
        <f>[1]TOBEPAID!AB998/1000</f>
        <v>452.92465999999985</v>
      </c>
      <c r="AC1317" s="19"/>
      <c r="AD1317" s="19"/>
      <c r="AS1317" s="34"/>
    </row>
    <row r="1318" spans="1:45" x14ac:dyDescent="0.2">
      <c r="A1318" s="18"/>
      <c r="C1318" s="17" t="s">
        <v>74</v>
      </c>
      <c r="D1318" s="19">
        <f>30000000/1000</f>
        <v>30000</v>
      </c>
      <c r="E1318" s="19"/>
      <c r="F1318" s="19"/>
      <c r="G1318" s="19"/>
      <c r="H1318" s="19">
        <f>30000000/1000</f>
        <v>30000</v>
      </c>
      <c r="I1318" s="19"/>
      <c r="J1318" s="19"/>
      <c r="K1318" s="19"/>
      <c r="L1318" s="19"/>
      <c r="M1318" s="19"/>
      <c r="N1318" s="19"/>
      <c r="O1318" s="19"/>
      <c r="P1318" s="19"/>
      <c r="Q1318" s="19"/>
      <c r="R1318" s="19">
        <v>0</v>
      </c>
      <c r="S1318" s="19"/>
      <c r="T1318" s="19"/>
      <c r="U1318" s="19"/>
      <c r="V1318" s="19"/>
      <c r="W1318" s="19"/>
      <c r="X1318" s="19"/>
      <c r="Y1318" s="19">
        <f>+H1318+R1318</f>
        <v>30000</v>
      </c>
      <c r="Z1318" s="19">
        <f>+D1318-Y1318</f>
        <v>0</v>
      </c>
      <c r="AA1318" s="19"/>
      <c r="AB1318" s="19"/>
      <c r="AC1318" s="19"/>
      <c r="AD1318" s="19"/>
      <c r="AS1318" s="34"/>
    </row>
    <row r="1319" spans="1:45" x14ac:dyDescent="0.2">
      <c r="A1319" s="18"/>
      <c r="C1319" s="17" t="s">
        <v>181</v>
      </c>
      <c r="D1319" s="19">
        <f>33500000/1000</f>
        <v>33500</v>
      </c>
      <c r="E1319" s="19"/>
      <c r="F1319" s="19"/>
      <c r="G1319" s="19"/>
      <c r="H1319" s="19">
        <f>21070537/1000</f>
        <v>21070.537</v>
      </c>
      <c r="I1319" s="19"/>
      <c r="J1319" s="19"/>
      <c r="K1319" s="19"/>
      <c r="L1319" s="19"/>
      <c r="M1319" s="19"/>
      <c r="N1319" s="19"/>
      <c r="O1319" s="19"/>
      <c r="P1319" s="19"/>
      <c r="Q1319" s="19"/>
      <c r="R1319" s="19">
        <v>0</v>
      </c>
      <c r="S1319" s="19"/>
      <c r="T1319" s="19"/>
      <c r="U1319" s="19"/>
      <c r="V1319" s="19"/>
      <c r="W1319" s="19"/>
      <c r="X1319" s="19"/>
      <c r="Y1319" s="19">
        <f>+H1319+R1319</f>
        <v>21070.537</v>
      </c>
      <c r="Z1319" s="19">
        <f>+D1319-Y1319</f>
        <v>12429.463</v>
      </c>
      <c r="AA1319" s="19"/>
      <c r="AB1319" s="19"/>
      <c r="AC1319" s="19"/>
      <c r="AD1319" s="19"/>
      <c r="AS1319" s="34"/>
    </row>
    <row r="1320" spans="1:45" x14ac:dyDescent="0.2">
      <c r="C1320" s="3" t="s">
        <v>62</v>
      </c>
      <c r="D1320" s="19">
        <f>3077163/1000</f>
        <v>3077.163</v>
      </c>
      <c r="E1320" s="19">
        <f>[1]TOBEPAID!E999/1000</f>
        <v>3077.1636000000003</v>
      </c>
      <c r="F1320" s="19">
        <f>[1]TOBEPAID!F999/1000</f>
        <v>0</v>
      </c>
      <c r="G1320" s="19">
        <f>[1]TOBEPAID!G999/1000</f>
        <v>0</v>
      </c>
      <c r="H1320" s="19">
        <f>3077163/1000</f>
        <v>3077.163</v>
      </c>
      <c r="I1320" s="19">
        <f>[1]TOBEPAID!I999/1000</f>
        <v>0</v>
      </c>
      <c r="J1320" s="19">
        <f>[1]TOBEPAID!J999/1000</f>
        <v>0</v>
      </c>
      <c r="K1320" s="19">
        <f>[1]TOBEPAID!K999/1000</f>
        <v>0</v>
      </c>
      <c r="L1320" s="19">
        <f>[1]TOBEPAID!L999/1000</f>
        <v>0</v>
      </c>
      <c r="M1320" s="19">
        <f>[1]TOBEPAID!M999/1000</f>
        <v>0</v>
      </c>
      <c r="N1320" s="19">
        <f>[1]TOBEPAID!N999/1000</f>
        <v>3077.1636000000003</v>
      </c>
      <c r="O1320" s="19">
        <f>[1]TOBEPAID!O999/1000</f>
        <v>0</v>
      </c>
      <c r="P1320" s="19">
        <f>[1]TOBEPAID!P999/1000</f>
        <v>0</v>
      </c>
      <c r="Q1320" s="19">
        <f>[1]TOBEPAID!Q999/1000</f>
        <v>0</v>
      </c>
      <c r="R1320" s="19">
        <v>0</v>
      </c>
      <c r="S1320" s="19">
        <f>[1]TOBEPAID!S999/1000</f>
        <v>0</v>
      </c>
      <c r="T1320" s="19">
        <f>[1]TOBEPAID!T999/1000</f>
        <v>0</v>
      </c>
      <c r="U1320" s="19">
        <f>[1]TOBEPAID!U999/1000</f>
        <v>0</v>
      </c>
      <c r="V1320" s="19">
        <f>[1]TOBEPAID!V999/1000</f>
        <v>0</v>
      </c>
      <c r="W1320" s="19">
        <f>[1]TOBEPAID!W999/1000</f>
        <v>0</v>
      </c>
      <c r="X1320" s="19">
        <f>[1]TOBEPAID!X999/1000</f>
        <v>0</v>
      </c>
      <c r="Y1320" s="19">
        <f>+H1320+R1320</f>
        <v>3077.163</v>
      </c>
      <c r="Z1320" s="19">
        <f>+D1320-Y1320</f>
        <v>0</v>
      </c>
      <c r="AA1320" s="19">
        <f>[1]TOBEPAID!AA999/1000</f>
        <v>3077.1636000000003</v>
      </c>
      <c r="AB1320" s="19">
        <f>[1]TOBEPAID!AB999/1000</f>
        <v>0</v>
      </c>
      <c r="AC1320" s="19"/>
      <c r="AD1320" s="19"/>
      <c r="AF1320" s="34"/>
      <c r="AG1320" s="34"/>
      <c r="AH1320" s="34"/>
      <c r="AI1320" s="34"/>
      <c r="AJ1320" s="34"/>
      <c r="AK1320" s="34"/>
      <c r="AL1320" s="34"/>
      <c r="AM1320" s="34"/>
      <c r="AN1320" s="34"/>
      <c r="AO1320" s="34"/>
      <c r="AP1320" s="34"/>
      <c r="AQ1320" s="34"/>
      <c r="AR1320" s="34"/>
      <c r="AS1320" s="34"/>
    </row>
    <row r="1321" spans="1:45" x14ac:dyDescent="0.2">
      <c r="A1321" s="18"/>
      <c r="C1321" s="3" t="s">
        <v>52</v>
      </c>
      <c r="D1321" s="19">
        <f>125000/1000</f>
        <v>125</v>
      </c>
      <c r="E1321" s="19">
        <f>[1]TOBEPAID!E1000/1000</f>
        <v>125</v>
      </c>
      <c r="F1321" s="19">
        <f>[1]TOBEPAID!F1000/1000</f>
        <v>0</v>
      </c>
      <c r="G1321" s="19">
        <f>[1]TOBEPAID!G1000/1000</f>
        <v>0</v>
      </c>
      <c r="H1321" s="19">
        <f>125000/1000</f>
        <v>125</v>
      </c>
      <c r="I1321" s="19">
        <f>[1]TOBEPAID!I1000/1000</f>
        <v>0</v>
      </c>
      <c r="J1321" s="19">
        <f>[1]TOBEPAID!J1000/1000</f>
        <v>0</v>
      </c>
      <c r="K1321" s="19">
        <f>[1]TOBEPAID!K1000/1000</f>
        <v>0</v>
      </c>
      <c r="L1321" s="19">
        <f>[1]TOBEPAID!L1000/1000</f>
        <v>0</v>
      </c>
      <c r="M1321" s="19">
        <f>[1]TOBEPAID!M1000/1000</f>
        <v>0</v>
      </c>
      <c r="N1321" s="19">
        <f>[1]TOBEPAID!N1000/1000</f>
        <v>125</v>
      </c>
      <c r="O1321" s="19">
        <f>[1]TOBEPAID!O1000/1000</f>
        <v>0</v>
      </c>
      <c r="P1321" s="19">
        <f>[1]TOBEPAID!P1000/1000</f>
        <v>0</v>
      </c>
      <c r="Q1321" s="19">
        <f>[1]TOBEPAID!Q1000/1000</f>
        <v>0</v>
      </c>
      <c r="R1321" s="19">
        <v>0</v>
      </c>
      <c r="S1321" s="19">
        <f>[1]TOBEPAID!S1000/1000</f>
        <v>0</v>
      </c>
      <c r="T1321" s="19">
        <f>[1]TOBEPAID!T1000/1000</f>
        <v>0</v>
      </c>
      <c r="U1321" s="19">
        <f>[1]TOBEPAID!U1000/1000</f>
        <v>0</v>
      </c>
      <c r="V1321" s="19">
        <f>[1]TOBEPAID!V1000/1000</f>
        <v>0</v>
      </c>
      <c r="W1321" s="19">
        <f>[1]TOBEPAID!W1000/1000</f>
        <v>0</v>
      </c>
      <c r="X1321" s="19">
        <f>[1]TOBEPAID!X1000/1000</f>
        <v>0</v>
      </c>
      <c r="Y1321" s="19">
        <f>+H1321+R1321</f>
        <v>125</v>
      </c>
      <c r="Z1321" s="19">
        <f>+D1321-Y1321</f>
        <v>0</v>
      </c>
      <c r="AA1321" s="19">
        <f>[1]TOBEPAID!AA1000/1000</f>
        <v>125</v>
      </c>
      <c r="AB1321" s="19">
        <f>[1]TOBEPAID!AB1000/1000</f>
        <v>0</v>
      </c>
      <c r="AC1321" s="19"/>
      <c r="AD1321" s="19"/>
      <c r="AF1321" s="34"/>
      <c r="AG1321" s="34"/>
      <c r="AH1321" s="34"/>
      <c r="AI1321" s="34"/>
      <c r="AJ1321" s="34"/>
      <c r="AK1321" s="34"/>
      <c r="AL1321" s="34"/>
      <c r="AM1321" s="34"/>
      <c r="AN1321" s="34"/>
      <c r="AO1321" s="34"/>
      <c r="AP1321" s="34"/>
      <c r="AQ1321" s="34"/>
      <c r="AR1321" s="34"/>
      <c r="AS1321" s="34"/>
    </row>
    <row r="1322" spans="1:45" x14ac:dyDescent="0.2">
      <c r="A1322" s="18"/>
      <c r="D1322" s="21" t="s">
        <v>57</v>
      </c>
      <c r="E1322" s="21" t="s">
        <v>57</v>
      </c>
      <c r="F1322" s="21" t="s">
        <v>57</v>
      </c>
      <c r="G1322" s="21"/>
      <c r="H1322" s="21" t="s">
        <v>57</v>
      </c>
      <c r="I1322" s="21" t="s">
        <v>57</v>
      </c>
      <c r="J1322" s="21" t="s">
        <v>57</v>
      </c>
      <c r="K1322" s="21" t="s">
        <v>57</v>
      </c>
      <c r="L1322" s="21" t="s">
        <v>57</v>
      </c>
      <c r="M1322" s="21"/>
      <c r="N1322" s="21" t="s">
        <v>57</v>
      </c>
      <c r="O1322" s="21" t="s">
        <v>57</v>
      </c>
      <c r="P1322" s="21" t="s">
        <v>57</v>
      </c>
      <c r="Q1322" s="21"/>
      <c r="R1322" s="21" t="s">
        <v>57</v>
      </c>
      <c r="S1322" s="21" t="s">
        <v>57</v>
      </c>
      <c r="T1322" s="21" t="s">
        <v>57</v>
      </c>
      <c r="U1322" s="21" t="s">
        <v>57</v>
      </c>
      <c r="V1322" s="21" t="s">
        <v>57</v>
      </c>
      <c r="W1322" s="21"/>
      <c r="X1322" s="21" t="s">
        <v>57</v>
      </c>
      <c r="Y1322" s="21" t="s">
        <v>57</v>
      </c>
      <c r="Z1322" s="21" t="s">
        <v>57</v>
      </c>
      <c r="AA1322" s="21" t="s">
        <v>57</v>
      </c>
      <c r="AB1322" s="21" t="s">
        <v>57</v>
      </c>
      <c r="AC1322" s="21"/>
      <c r="AD1322" s="21"/>
      <c r="AF1322" s="34"/>
      <c r="AG1322" s="34"/>
      <c r="AH1322" s="34"/>
      <c r="AI1322" s="34"/>
      <c r="AJ1322" s="34"/>
      <c r="AK1322" s="34"/>
      <c r="AL1322" s="34"/>
      <c r="AM1322" s="34"/>
      <c r="AN1322" s="34"/>
      <c r="AO1322" s="34"/>
      <c r="AP1322" s="34"/>
      <c r="AQ1322" s="34"/>
      <c r="AR1322" s="34"/>
      <c r="AS1322" s="34"/>
    </row>
    <row r="1323" spans="1:45" x14ac:dyDescent="0.2">
      <c r="A1323" s="18"/>
      <c r="B1323" s="34"/>
      <c r="D1323" s="35">
        <f>SUM(D1317:D1321)</f>
        <v>67172.379000000001</v>
      </c>
      <c r="E1323" s="35">
        <f>SUM(E1317:E1321)</f>
        <v>3202.1636000000003</v>
      </c>
      <c r="F1323" s="35">
        <f>SUM(F1317:F1321)</f>
        <v>0</v>
      </c>
      <c r="G1323" s="35"/>
      <c r="H1323" s="35">
        <f>SUM(H1317:H1321)</f>
        <v>54725.623999999996</v>
      </c>
      <c r="I1323" s="35">
        <f>SUM(I1317:I1321)</f>
        <v>0</v>
      </c>
      <c r="J1323" s="35">
        <f>SUM(J1317:J1321)</f>
        <v>0</v>
      </c>
      <c r="K1323" s="35">
        <f>SUM(K1317:K1321)</f>
        <v>0</v>
      </c>
      <c r="L1323" s="35">
        <f>SUM(L1317:L1321)</f>
        <v>0</v>
      </c>
      <c r="M1323" s="35"/>
      <c r="N1323" s="35">
        <f>SUM(N1317:N1321)</f>
        <v>3202.1636000000003</v>
      </c>
      <c r="O1323" s="35">
        <f>SUM(O1317:O1321)</f>
        <v>17.292200000000005</v>
      </c>
      <c r="P1323" s="35">
        <f>SUM(P1317:P1321)</f>
        <v>0</v>
      </c>
      <c r="Q1323" s="35"/>
      <c r="R1323" s="35">
        <f>SUM(R1317:R1321)</f>
        <v>17.292000000000002</v>
      </c>
      <c r="S1323" s="35">
        <f>SUM(S1317:S1321)</f>
        <v>0</v>
      </c>
      <c r="T1323" s="35">
        <f>SUM(T1317:T1321)</f>
        <v>0</v>
      </c>
      <c r="U1323" s="35">
        <f>SUM(U1317:U1321)</f>
        <v>0</v>
      </c>
      <c r="V1323" s="35">
        <f>SUM(V1317:V1321)</f>
        <v>0</v>
      </c>
      <c r="W1323" s="35"/>
      <c r="X1323" s="35">
        <f>SUM(X1317:X1321)</f>
        <v>17.292200000000005</v>
      </c>
      <c r="Y1323" s="35">
        <f>SUM(Y1317:Y1321)</f>
        <v>54742.915999999997</v>
      </c>
      <c r="Z1323" s="35">
        <f>SUM(Z1317:Z1321)</f>
        <v>12429.463</v>
      </c>
      <c r="AA1323" s="35">
        <f>SUM(AA1317:AA1321)</f>
        <v>3219.4558000000002</v>
      </c>
      <c r="AB1323" s="35">
        <f>SUM(AB1317:AB1321)</f>
        <v>452.92465999999985</v>
      </c>
      <c r="AC1323" s="35"/>
      <c r="AD1323" s="35"/>
      <c r="AF1323" s="34"/>
      <c r="AG1323" s="34"/>
      <c r="AH1323" s="34"/>
      <c r="AI1323" s="34"/>
      <c r="AJ1323" s="34"/>
      <c r="AK1323" s="34"/>
      <c r="AL1323" s="34"/>
      <c r="AM1323" s="34"/>
      <c r="AN1323" s="34"/>
      <c r="AO1323" s="34"/>
      <c r="AP1323" s="34"/>
      <c r="AQ1323" s="34"/>
      <c r="AR1323" s="34"/>
    </row>
    <row r="1324" spans="1:45" x14ac:dyDescent="0.2">
      <c r="A1324" s="18"/>
      <c r="B1324" s="3" t="str">
        <f>+B1317</f>
        <v>SIARGAO IS.</v>
      </c>
      <c r="D1324" s="21" t="s">
        <v>57</v>
      </c>
      <c r="E1324" s="21" t="s">
        <v>57</v>
      </c>
      <c r="F1324" s="21" t="s">
        <v>57</v>
      </c>
      <c r="G1324" s="21"/>
      <c r="H1324" s="21" t="s">
        <v>57</v>
      </c>
      <c r="I1324" s="21" t="s">
        <v>57</v>
      </c>
      <c r="J1324" s="21" t="s">
        <v>57</v>
      </c>
      <c r="K1324" s="21" t="s">
        <v>57</v>
      </c>
      <c r="L1324" s="21" t="s">
        <v>57</v>
      </c>
      <c r="M1324" s="21"/>
      <c r="N1324" s="21" t="s">
        <v>57</v>
      </c>
      <c r="O1324" s="21" t="s">
        <v>57</v>
      </c>
      <c r="P1324" s="21" t="s">
        <v>57</v>
      </c>
      <c r="Q1324" s="21"/>
      <c r="R1324" s="21" t="s">
        <v>57</v>
      </c>
      <c r="S1324" s="21" t="s">
        <v>57</v>
      </c>
      <c r="T1324" s="21" t="s">
        <v>57</v>
      </c>
      <c r="U1324" s="21" t="s">
        <v>57</v>
      </c>
      <c r="V1324" s="21" t="s">
        <v>57</v>
      </c>
      <c r="W1324" s="21"/>
      <c r="X1324" s="21" t="s">
        <v>57</v>
      </c>
      <c r="Y1324" s="21" t="s">
        <v>57</v>
      </c>
      <c r="Z1324" s="21" t="s">
        <v>57</v>
      </c>
      <c r="AA1324" s="21" t="s">
        <v>57</v>
      </c>
      <c r="AB1324" s="21" t="s">
        <v>57</v>
      </c>
      <c r="AC1324" s="21"/>
      <c r="AD1324" s="21"/>
    </row>
    <row r="1325" spans="1:45" ht="15.75" thickBot="1" x14ac:dyDescent="0.25">
      <c r="B1325" s="22" t="s">
        <v>58</v>
      </c>
      <c r="D1325" s="37">
        <f>44184.18/1000</f>
        <v>44.184179999999998</v>
      </c>
      <c r="E1325" s="30"/>
      <c r="F1325" s="30"/>
      <c r="G1325" s="30"/>
      <c r="H1325" s="30"/>
      <c r="I1325" s="30"/>
      <c r="J1325" s="30"/>
      <c r="K1325" s="30"/>
      <c r="L1325" s="30"/>
      <c r="M1325" s="30"/>
      <c r="N1325" s="30"/>
      <c r="O1325" s="37">
        <v>44184.18</v>
      </c>
      <c r="P1325" s="38"/>
      <c r="Q1325" s="30"/>
      <c r="R1325" s="37">
        <f>+D1325</f>
        <v>44.184179999999998</v>
      </c>
      <c r="S1325" s="30"/>
      <c r="T1325" s="30"/>
      <c r="U1325" s="30"/>
      <c r="V1325" s="30"/>
      <c r="W1325" s="30"/>
      <c r="X1325" s="30"/>
      <c r="Y1325" s="37">
        <f>+H1325+R1325</f>
        <v>44.184179999999998</v>
      </c>
      <c r="Z1325" s="37">
        <f>+D1325-Y1325</f>
        <v>0</v>
      </c>
      <c r="AA1325" s="30"/>
      <c r="AB1325" s="30"/>
      <c r="AC1325" s="30"/>
      <c r="AD1325" s="30"/>
      <c r="AS1325" s="34"/>
    </row>
    <row r="1326" spans="1:45" ht="15.75" thickTop="1" x14ac:dyDescent="0.2">
      <c r="D1326" s="30"/>
      <c r="E1326" s="30"/>
      <c r="F1326" s="30"/>
      <c r="G1326" s="30"/>
      <c r="H1326" s="30"/>
      <c r="I1326" s="30"/>
      <c r="J1326" s="30"/>
      <c r="K1326" s="30"/>
      <c r="L1326" s="30"/>
      <c r="M1326" s="30"/>
      <c r="N1326" s="30"/>
      <c r="O1326" s="30"/>
      <c r="P1326" s="30"/>
      <c r="Q1326" s="30"/>
      <c r="R1326" s="30"/>
      <c r="S1326" s="30"/>
      <c r="T1326" s="30"/>
      <c r="U1326" s="30"/>
      <c r="V1326" s="30"/>
      <c r="W1326" s="30"/>
      <c r="X1326" s="30"/>
      <c r="Y1326" s="30"/>
      <c r="Z1326" s="30"/>
      <c r="AA1326" s="30"/>
      <c r="AB1326" s="30"/>
      <c r="AC1326" s="30"/>
      <c r="AD1326" s="30"/>
      <c r="AF1326" s="34"/>
      <c r="AG1326" s="34"/>
      <c r="AH1326" s="34"/>
      <c r="AI1326" s="34"/>
      <c r="AJ1326" s="34"/>
      <c r="AK1326" s="34"/>
      <c r="AL1326" s="34"/>
      <c r="AM1326" s="34"/>
      <c r="AN1326" s="34"/>
      <c r="AO1326" s="34"/>
      <c r="AP1326" s="34"/>
      <c r="AQ1326" s="34"/>
      <c r="AR1326" s="34"/>
    </row>
    <row r="1327" spans="1:45" x14ac:dyDescent="0.2">
      <c r="A1327" s="18">
        <v>104</v>
      </c>
      <c r="B1327" s="3" t="s">
        <v>363</v>
      </c>
      <c r="C1327" s="17" t="s">
        <v>51</v>
      </c>
      <c r="D1327" s="19">
        <f>36253064/1000</f>
        <v>36253.063999999998</v>
      </c>
      <c r="E1327" s="19">
        <f>[1]TOBEPAID!E1006/1000</f>
        <v>4500</v>
      </c>
      <c r="F1327" s="19">
        <f>[1]TOBEPAID!F1006/1000</f>
        <v>0</v>
      </c>
      <c r="G1327" s="19">
        <f>[1]TOBEPAID!G1006/1000</f>
        <v>0</v>
      </c>
      <c r="H1327" s="19">
        <f>15188156/1000</f>
        <v>15188.156000000001</v>
      </c>
      <c r="I1327" s="19">
        <f>[1]TOBEPAID!I1006/1000</f>
        <v>0</v>
      </c>
      <c r="J1327" s="19">
        <f>[1]TOBEPAID!J1006/1000</f>
        <v>0</v>
      </c>
      <c r="K1327" s="19">
        <f>[1]TOBEPAID!K1006/1000</f>
        <v>0</v>
      </c>
      <c r="L1327" s="19">
        <f>[1]TOBEPAID!L1006/1000</f>
        <v>0</v>
      </c>
      <c r="M1327" s="19">
        <f>[1]TOBEPAID!M1006/1000</f>
        <v>0</v>
      </c>
      <c r="N1327" s="19">
        <f>[1]TOBEPAID!N1006/1000</f>
        <v>4500</v>
      </c>
      <c r="O1327" s="19">
        <f>[1]TOBEPAID!O1006/1000</f>
        <v>536.37722999999994</v>
      </c>
      <c r="P1327" s="19">
        <f>[1]TOBEPAID!P1006/1000</f>
        <v>0</v>
      </c>
      <c r="Q1327" s="19">
        <f>[1]TOBEPAID!Q1006/1000</f>
        <v>0</v>
      </c>
      <c r="R1327" s="19">
        <f>630377.23/1000</f>
        <v>630.37722999999994</v>
      </c>
      <c r="S1327" s="19">
        <f>[1]TOBEPAID!S1006/1000</f>
        <v>0</v>
      </c>
      <c r="T1327" s="19">
        <f>[1]TOBEPAID!T1006/1000</f>
        <v>0</v>
      </c>
      <c r="U1327" s="19">
        <f>[1]TOBEPAID!U1006/1000</f>
        <v>0</v>
      </c>
      <c r="V1327" s="19">
        <f>[1]TOBEPAID!V1006/1000</f>
        <v>0</v>
      </c>
      <c r="W1327" s="19">
        <f>[1]TOBEPAID!W1006/1000</f>
        <v>0</v>
      </c>
      <c r="X1327" s="19">
        <f>[1]TOBEPAID!X1006/1000</f>
        <v>536.37722999999994</v>
      </c>
      <c r="Y1327" s="19">
        <f>+H1327+R1327</f>
        <v>15818.533230000001</v>
      </c>
      <c r="Z1327" s="19">
        <f>+D1327-Y1327</f>
        <v>20434.530769999998</v>
      </c>
      <c r="AA1327" s="19">
        <f>[1]TOBEPAID!AA1006/1000</f>
        <v>5036.3772300000001</v>
      </c>
      <c r="AB1327" s="19">
        <f>[1]TOBEPAID!AB1006/1000</f>
        <v>31216.687249999995</v>
      </c>
      <c r="AC1327" s="19"/>
      <c r="AD1327" s="19"/>
      <c r="AS1327" s="34"/>
    </row>
    <row r="1328" spans="1:45" x14ac:dyDescent="0.2">
      <c r="A1328" s="18"/>
      <c r="C1328" s="17"/>
      <c r="D1328" s="21" t="s">
        <v>57</v>
      </c>
      <c r="E1328" s="21" t="s">
        <v>57</v>
      </c>
      <c r="F1328" s="21" t="s">
        <v>57</v>
      </c>
      <c r="G1328" s="21"/>
      <c r="H1328" s="21" t="s">
        <v>57</v>
      </c>
      <c r="I1328" s="21" t="s">
        <v>57</v>
      </c>
      <c r="J1328" s="21" t="s">
        <v>57</v>
      </c>
      <c r="K1328" s="21" t="s">
        <v>57</v>
      </c>
      <c r="L1328" s="21" t="s">
        <v>57</v>
      </c>
      <c r="M1328" s="21"/>
      <c r="N1328" s="21" t="s">
        <v>57</v>
      </c>
      <c r="O1328" s="21" t="s">
        <v>57</v>
      </c>
      <c r="P1328" s="21" t="s">
        <v>57</v>
      </c>
      <c r="Q1328" s="21"/>
      <c r="R1328" s="21" t="s">
        <v>57</v>
      </c>
      <c r="S1328" s="21" t="s">
        <v>57</v>
      </c>
      <c r="T1328" s="21" t="s">
        <v>57</v>
      </c>
      <c r="U1328" s="21" t="s">
        <v>57</v>
      </c>
      <c r="V1328" s="21" t="s">
        <v>57</v>
      </c>
      <c r="W1328" s="21"/>
      <c r="X1328" s="21" t="s">
        <v>57</v>
      </c>
      <c r="Y1328" s="21" t="s">
        <v>57</v>
      </c>
      <c r="Z1328" s="21" t="s">
        <v>57</v>
      </c>
      <c r="AA1328" s="21" t="s">
        <v>57</v>
      </c>
      <c r="AB1328" s="21" t="s">
        <v>57</v>
      </c>
      <c r="AC1328" s="21"/>
      <c r="AD1328" s="19"/>
      <c r="AS1328" s="34"/>
    </row>
    <row r="1329" spans="1:45" x14ac:dyDescent="0.2">
      <c r="B1329" s="3" t="s">
        <v>364</v>
      </c>
      <c r="AD1329" s="21"/>
      <c r="AF1329" s="34"/>
      <c r="AG1329" s="34"/>
      <c r="AH1329" s="34"/>
      <c r="AI1329" s="34"/>
      <c r="AJ1329" s="34"/>
      <c r="AK1329" s="34"/>
      <c r="AL1329" s="34"/>
      <c r="AM1329" s="34"/>
      <c r="AN1329" s="34"/>
      <c r="AO1329" s="34"/>
      <c r="AP1329" s="34"/>
      <c r="AQ1329" s="34"/>
      <c r="AR1329" s="34"/>
      <c r="AS1329" s="34"/>
    </row>
    <row r="1330" spans="1:45" ht="15.75" thickBot="1" x14ac:dyDescent="0.25">
      <c r="B1330" s="22" t="s">
        <v>58</v>
      </c>
      <c r="D1330" s="24">
        <v>29.303000000000001</v>
      </c>
      <c r="E1330" s="21"/>
      <c r="F1330" s="21"/>
      <c r="G1330" s="21"/>
      <c r="H1330" s="21"/>
      <c r="I1330" s="21"/>
      <c r="J1330" s="21"/>
      <c r="K1330" s="21"/>
      <c r="L1330" s="21"/>
      <c r="M1330" s="21"/>
      <c r="N1330" s="21"/>
      <c r="O1330" s="21"/>
      <c r="P1330" s="21"/>
      <c r="Q1330" s="21"/>
      <c r="R1330" s="24">
        <v>29.303000000000001</v>
      </c>
      <c r="S1330" s="24">
        <v>29.303000000000001</v>
      </c>
      <c r="T1330" s="24">
        <v>29.303000000000001</v>
      </c>
      <c r="U1330" s="24">
        <v>29.303000000000001</v>
      </c>
      <c r="V1330" s="24">
        <v>29.303000000000001</v>
      </c>
      <c r="W1330" s="24">
        <v>29.303000000000001</v>
      </c>
      <c r="X1330" s="24">
        <v>29.303000000000001</v>
      </c>
      <c r="Y1330" s="24">
        <v>29.303000000000001</v>
      </c>
      <c r="Z1330" s="21"/>
      <c r="AA1330" s="21"/>
      <c r="AB1330" s="21"/>
      <c r="AC1330" s="21"/>
      <c r="AD1330" s="21"/>
      <c r="AF1330" s="34"/>
      <c r="AG1330" s="34"/>
      <c r="AH1330" s="34"/>
      <c r="AI1330" s="34"/>
      <c r="AJ1330" s="34"/>
      <c r="AK1330" s="34"/>
      <c r="AL1330" s="34"/>
      <c r="AM1330" s="34"/>
      <c r="AN1330" s="34"/>
      <c r="AO1330" s="34"/>
      <c r="AP1330" s="34"/>
      <c r="AQ1330" s="34"/>
      <c r="AR1330" s="34"/>
      <c r="AS1330" s="34"/>
    </row>
    <row r="1331" spans="1:45" ht="15.75" thickTop="1" x14ac:dyDescent="0.2">
      <c r="A1331" s="73"/>
      <c r="B1331" s="69"/>
      <c r="C1331" s="11"/>
      <c r="D1331" s="44"/>
      <c r="E1331" s="44"/>
      <c r="F1331" s="44"/>
      <c r="G1331" s="44"/>
      <c r="H1331" s="44"/>
      <c r="I1331" s="44"/>
      <c r="J1331" s="44"/>
      <c r="K1331" s="44"/>
      <c r="L1331" s="44"/>
      <c r="M1331" s="44"/>
      <c r="N1331" s="44"/>
      <c r="O1331" s="44"/>
      <c r="P1331" s="44"/>
      <c r="Q1331" s="44"/>
      <c r="R1331" s="44"/>
      <c r="S1331" s="44"/>
      <c r="T1331" s="44"/>
      <c r="U1331" s="44"/>
      <c r="V1331" s="44"/>
      <c r="W1331" s="44"/>
      <c r="X1331" s="44"/>
      <c r="Y1331" s="44"/>
      <c r="Z1331" s="44"/>
      <c r="AA1331" s="19">
        <f>[1]TOBEPAID!AA1008/1000</f>
        <v>0</v>
      </c>
      <c r="AB1331" s="19">
        <f>[1]TOBEPAID!AB1008/1000</f>
        <v>0</v>
      </c>
      <c r="AC1331" s="19"/>
      <c r="AD1331" s="19"/>
      <c r="AF1331" s="34"/>
      <c r="AG1331" s="34"/>
      <c r="AH1331" s="34"/>
      <c r="AI1331" s="34"/>
      <c r="AJ1331" s="34"/>
      <c r="AK1331" s="34"/>
      <c r="AL1331" s="34"/>
      <c r="AM1331" s="34"/>
      <c r="AN1331" s="34"/>
      <c r="AO1331" s="34"/>
      <c r="AP1331" s="34"/>
      <c r="AQ1331" s="34"/>
      <c r="AR1331" s="34"/>
      <c r="AS1331" s="34"/>
    </row>
    <row r="1332" spans="1:45" x14ac:dyDescent="0.2">
      <c r="A1332" s="18">
        <v>105</v>
      </c>
      <c r="B1332" s="3" t="s">
        <v>365</v>
      </c>
      <c r="C1332" s="17" t="s">
        <v>51</v>
      </c>
      <c r="D1332" s="19">
        <f>19170486/1000</f>
        <v>19170.486000000001</v>
      </c>
      <c r="E1332" s="19">
        <f>[1]TOBEPAID!E1009/1000</f>
        <v>4000</v>
      </c>
      <c r="F1332" s="19">
        <f>[1]TOBEPAID!F1009/1000</f>
        <v>0</v>
      </c>
      <c r="G1332" s="19">
        <f>[1]TOBEPAID!G1009/1000</f>
        <v>0</v>
      </c>
      <c r="H1332" s="19">
        <f>19000000/1000</f>
        <v>19000</v>
      </c>
      <c r="I1332" s="19">
        <f>[1]TOBEPAID!I1009/1000</f>
        <v>0</v>
      </c>
      <c r="J1332" s="19">
        <f>[1]TOBEPAID!J1009/1000</f>
        <v>0</v>
      </c>
      <c r="K1332" s="19">
        <f>[1]TOBEPAID!K1009/1000</f>
        <v>0</v>
      </c>
      <c r="L1332" s="19">
        <f>[1]TOBEPAID!L1009/1000</f>
        <v>0</v>
      </c>
      <c r="M1332" s="19">
        <f>[1]TOBEPAID!M1009/1000</f>
        <v>0</v>
      </c>
      <c r="N1332" s="19">
        <f>[1]TOBEPAID!N1009/1000</f>
        <v>4000</v>
      </c>
      <c r="O1332" s="19">
        <f>[1]TOBEPAID!O1009/1000</f>
        <v>0</v>
      </c>
      <c r="P1332" s="19">
        <f>[1]TOBEPAID!P1009/1000</f>
        <v>0</v>
      </c>
      <c r="Q1332" s="19">
        <f>[1]TOBEPAID!Q1009/1000</f>
        <v>0</v>
      </c>
      <c r="R1332" s="19">
        <f>87000/1000</f>
        <v>87</v>
      </c>
      <c r="S1332" s="19">
        <f>[1]TOBEPAID!S1009/1000</f>
        <v>0</v>
      </c>
      <c r="T1332" s="19">
        <f>[1]TOBEPAID!T1009/1000</f>
        <v>0</v>
      </c>
      <c r="U1332" s="19">
        <f>[1]TOBEPAID!U1009/1000</f>
        <v>0</v>
      </c>
      <c r="V1332" s="19">
        <f>[1]TOBEPAID!V1009/1000</f>
        <v>0</v>
      </c>
      <c r="W1332" s="19">
        <f>[1]TOBEPAID!W1009/1000</f>
        <v>0</v>
      </c>
      <c r="X1332" s="19">
        <f>[1]TOBEPAID!X1009/1000</f>
        <v>0</v>
      </c>
      <c r="Y1332" s="19">
        <f t="shared" ref="Y1332:Y1340" si="249">+H1332+R1332</f>
        <v>19087</v>
      </c>
      <c r="Z1332" s="19">
        <f t="shared" ref="Z1332:Z1340" si="250">+D1332-Y1332</f>
        <v>83.486000000000786</v>
      </c>
      <c r="AA1332" s="19">
        <f>[1]TOBEPAID!AA1009/1000</f>
        <v>4000</v>
      </c>
      <c r="AB1332" s="19">
        <f>[1]TOBEPAID!AB1009/1000</f>
        <v>15170.486940000001</v>
      </c>
      <c r="AC1332" s="19"/>
      <c r="AD1332" s="19"/>
      <c r="AF1332" s="34"/>
      <c r="AG1332" s="34"/>
      <c r="AH1332" s="34"/>
      <c r="AI1332" s="34"/>
      <c r="AJ1332" s="34"/>
      <c r="AK1332" s="34"/>
      <c r="AL1332" s="34"/>
      <c r="AM1332" s="34"/>
      <c r="AN1332" s="34"/>
      <c r="AO1332" s="34"/>
      <c r="AP1332" s="34"/>
      <c r="AQ1332" s="34"/>
      <c r="AR1332" s="34"/>
    </row>
    <row r="1333" spans="1:45" x14ac:dyDescent="0.2">
      <c r="A1333" s="18"/>
      <c r="C1333" s="3" t="s">
        <v>52</v>
      </c>
      <c r="D1333" s="19">
        <f>2217196/1000</f>
        <v>2217.1959999999999</v>
      </c>
      <c r="E1333" s="19">
        <f>[1]TOBEPAID!E1010/1000</f>
        <v>2217.19652</v>
      </c>
      <c r="F1333" s="19">
        <f>[1]TOBEPAID!F1010/1000</f>
        <v>0</v>
      </c>
      <c r="G1333" s="19">
        <f>[1]TOBEPAID!G1010/1000</f>
        <v>0</v>
      </c>
      <c r="H1333" s="19">
        <f>2217196/1000</f>
        <v>2217.1959999999999</v>
      </c>
      <c r="I1333" s="19">
        <f>[1]TOBEPAID!I1010/1000</f>
        <v>0</v>
      </c>
      <c r="J1333" s="19">
        <f>[1]TOBEPAID!J1010/1000</f>
        <v>0</v>
      </c>
      <c r="K1333" s="19">
        <f>[1]TOBEPAID!K1010/1000</f>
        <v>0</v>
      </c>
      <c r="L1333" s="19">
        <f>[1]TOBEPAID!L1010/1000</f>
        <v>0</v>
      </c>
      <c r="M1333" s="19">
        <f>[1]TOBEPAID!M1010/1000</f>
        <v>0</v>
      </c>
      <c r="N1333" s="19">
        <f>[1]TOBEPAID!N1010/1000</f>
        <v>2217.19652</v>
      </c>
      <c r="O1333" s="19">
        <f>[1]TOBEPAID!O1010/1000</f>
        <v>0</v>
      </c>
      <c r="P1333" s="19">
        <f>[1]TOBEPAID!P1010/1000</f>
        <v>0</v>
      </c>
      <c r="Q1333" s="19">
        <f>[1]TOBEPAID!Q1010/1000</f>
        <v>0</v>
      </c>
      <c r="R1333" s="19">
        <v>0</v>
      </c>
      <c r="S1333" s="19">
        <f>[1]TOBEPAID!S1010/1000</f>
        <v>0</v>
      </c>
      <c r="T1333" s="19">
        <f>[1]TOBEPAID!T1010/1000</f>
        <v>0</v>
      </c>
      <c r="U1333" s="19">
        <f>[1]TOBEPAID!U1010/1000</f>
        <v>0</v>
      </c>
      <c r="V1333" s="19">
        <f>[1]TOBEPAID!V1010/1000</f>
        <v>0</v>
      </c>
      <c r="W1333" s="19">
        <f>[1]TOBEPAID!W1010/1000</f>
        <v>0</v>
      </c>
      <c r="X1333" s="19">
        <f>[1]TOBEPAID!X1010/1000</f>
        <v>0</v>
      </c>
      <c r="Y1333" s="19">
        <f t="shared" si="249"/>
        <v>2217.1959999999999</v>
      </c>
      <c r="Z1333" s="19">
        <f t="shared" si="250"/>
        <v>0</v>
      </c>
      <c r="AA1333" s="19">
        <f>[1]TOBEPAID!AA1010/1000</f>
        <v>2217.19652</v>
      </c>
      <c r="AB1333" s="19">
        <f>[1]TOBEPAID!AB1010/1000</f>
        <v>0</v>
      </c>
      <c r="AC1333" s="19"/>
      <c r="AD1333" s="19"/>
      <c r="AS1333" s="34"/>
    </row>
    <row r="1334" spans="1:45" x14ac:dyDescent="0.2">
      <c r="C1334" s="3" t="s">
        <v>67</v>
      </c>
      <c r="D1334" s="19">
        <f>555821174.77/1000</f>
        <v>555821.17476999993</v>
      </c>
      <c r="E1334" s="19">
        <f>[1]TOBEPAID!E1011/1000</f>
        <v>0</v>
      </c>
      <c r="F1334" s="19">
        <f>[1]TOBEPAID!F1011/1000</f>
        <v>2718.7767200000003</v>
      </c>
      <c r="G1334" s="19">
        <f>[1]TOBEPAID!G1011/1000</f>
        <v>0</v>
      </c>
      <c r="H1334" s="19">
        <f>555821174.77/1000</f>
        <v>555821.17476999993</v>
      </c>
      <c r="I1334" s="19">
        <f>[1]TOBEPAID!I1011/1000</f>
        <v>0</v>
      </c>
      <c r="J1334" s="19">
        <f>[1]TOBEPAID!J1011/1000</f>
        <v>0</v>
      </c>
      <c r="K1334" s="19">
        <f>[1]TOBEPAID!K1011/1000</f>
        <v>0</v>
      </c>
      <c r="L1334" s="19">
        <f>[1]TOBEPAID!L1011/1000</f>
        <v>0</v>
      </c>
      <c r="M1334" s="19">
        <f>[1]TOBEPAID!M1011/1000</f>
        <v>0</v>
      </c>
      <c r="N1334" s="19">
        <f>[1]TOBEPAID!N1011/1000</f>
        <v>2718.7767200000003</v>
      </c>
      <c r="O1334" s="19">
        <f>[1]TOBEPAID!O1011/1000</f>
        <v>0</v>
      </c>
      <c r="P1334" s="19">
        <f>[1]TOBEPAID!P1011/1000</f>
        <v>0</v>
      </c>
      <c r="Q1334" s="19">
        <f>[1]TOBEPAID!Q1011/1000</f>
        <v>0</v>
      </c>
      <c r="R1334" s="19">
        <v>0</v>
      </c>
      <c r="S1334" s="19">
        <f>[1]TOBEPAID!S1011/1000</f>
        <v>0</v>
      </c>
      <c r="T1334" s="19">
        <f>[1]TOBEPAID!T1011/1000</f>
        <v>0</v>
      </c>
      <c r="U1334" s="19">
        <f>[1]TOBEPAID!U1011/1000</f>
        <v>0</v>
      </c>
      <c r="V1334" s="19">
        <f>[1]TOBEPAID!V1011/1000</f>
        <v>0</v>
      </c>
      <c r="W1334" s="19">
        <f>[1]TOBEPAID!W1011/1000</f>
        <v>0</v>
      </c>
      <c r="X1334" s="19">
        <f>[1]TOBEPAID!X1011/1000</f>
        <v>0</v>
      </c>
      <c r="Y1334" s="19">
        <f t="shared" si="249"/>
        <v>555821.17476999993</v>
      </c>
      <c r="Z1334" s="19">
        <f t="shared" si="250"/>
        <v>0</v>
      </c>
      <c r="AA1334" s="19">
        <f>[1]TOBEPAID!AA1011/1000</f>
        <v>2718.7767200000003</v>
      </c>
      <c r="AB1334" s="19">
        <f>[1]TOBEPAID!AB1011/1000</f>
        <v>0</v>
      </c>
      <c r="AC1334" s="19"/>
      <c r="AD1334" s="19"/>
      <c r="AF1334" s="34"/>
      <c r="AG1334" s="34"/>
      <c r="AH1334" s="34"/>
      <c r="AI1334" s="34"/>
      <c r="AJ1334" s="34"/>
      <c r="AK1334" s="34"/>
      <c r="AL1334" s="34"/>
      <c r="AM1334" s="34"/>
      <c r="AN1334" s="34"/>
      <c r="AO1334" s="34"/>
      <c r="AP1334" s="34"/>
      <c r="AQ1334" s="34"/>
      <c r="AR1334" s="34"/>
      <c r="AS1334" s="34">
        <f>+AF1339-AK1339-AP1339</f>
        <v>-1.5199999998003477E-3</v>
      </c>
    </row>
    <row r="1335" spans="1:45" x14ac:dyDescent="0.2">
      <c r="C1335" s="3" t="s">
        <v>366</v>
      </c>
      <c r="D1335" s="19">
        <f>12000000/1000</f>
        <v>12000</v>
      </c>
      <c r="E1335" s="19"/>
      <c r="F1335" s="19"/>
      <c r="G1335" s="19"/>
      <c r="H1335" s="19">
        <f>12000000/1000</f>
        <v>12000</v>
      </c>
      <c r="I1335" s="19"/>
      <c r="J1335" s="19"/>
      <c r="K1335" s="19"/>
      <c r="L1335" s="19"/>
      <c r="M1335" s="19"/>
      <c r="N1335" s="19"/>
      <c r="O1335" s="19"/>
      <c r="P1335" s="19"/>
      <c r="Q1335" s="19"/>
      <c r="R1335" s="19">
        <v>0</v>
      </c>
      <c r="S1335" s="19"/>
      <c r="T1335" s="19"/>
      <c r="U1335" s="19"/>
      <c r="V1335" s="19"/>
      <c r="W1335" s="19"/>
      <c r="X1335" s="19"/>
      <c r="Y1335" s="19">
        <f t="shared" si="249"/>
        <v>12000</v>
      </c>
      <c r="Z1335" s="19">
        <f t="shared" si="250"/>
        <v>0</v>
      </c>
      <c r="AA1335" s="19"/>
      <c r="AB1335" s="19"/>
      <c r="AC1335" s="19"/>
      <c r="AD1335" s="19"/>
      <c r="AF1335" s="34"/>
      <c r="AG1335" s="34"/>
      <c r="AH1335" s="34"/>
      <c r="AI1335" s="34"/>
      <c r="AJ1335" s="34"/>
      <c r="AK1335" s="34"/>
      <c r="AL1335" s="34"/>
      <c r="AM1335" s="34"/>
      <c r="AN1335" s="34"/>
      <c r="AO1335" s="34"/>
      <c r="AP1335" s="34"/>
      <c r="AQ1335" s="34"/>
      <c r="AR1335" s="34"/>
      <c r="AS1335" s="34"/>
    </row>
    <row r="1336" spans="1:45" x14ac:dyDescent="0.2">
      <c r="C1336" s="3" t="s">
        <v>267</v>
      </c>
      <c r="D1336" s="19">
        <f>3360000/1000</f>
        <v>3360</v>
      </c>
      <c r="E1336" s="19"/>
      <c r="F1336" s="19"/>
      <c r="G1336" s="19"/>
      <c r="H1336" s="19">
        <f>3360000/1000</f>
        <v>3360</v>
      </c>
      <c r="I1336" s="19"/>
      <c r="J1336" s="19"/>
      <c r="K1336" s="19"/>
      <c r="L1336" s="19"/>
      <c r="M1336" s="19"/>
      <c r="N1336" s="19"/>
      <c r="O1336" s="19"/>
      <c r="P1336" s="19"/>
      <c r="Q1336" s="19"/>
      <c r="R1336" s="19">
        <v>0</v>
      </c>
      <c r="S1336" s="19"/>
      <c r="T1336" s="19"/>
      <c r="U1336" s="19"/>
      <c r="V1336" s="19"/>
      <c r="W1336" s="19"/>
      <c r="X1336" s="19"/>
      <c r="Y1336" s="19">
        <f t="shared" si="249"/>
        <v>3360</v>
      </c>
      <c r="Z1336" s="19">
        <f t="shared" si="250"/>
        <v>0</v>
      </c>
      <c r="AA1336" s="19"/>
      <c r="AB1336" s="19"/>
      <c r="AC1336" s="19"/>
      <c r="AD1336" s="19"/>
      <c r="AF1336" s="34"/>
      <c r="AG1336" s="34"/>
      <c r="AH1336" s="34"/>
      <c r="AI1336" s="34"/>
      <c r="AJ1336" s="34"/>
      <c r="AK1336" s="34"/>
      <c r="AL1336" s="34"/>
      <c r="AM1336" s="34"/>
      <c r="AN1336" s="34"/>
      <c r="AO1336" s="34"/>
      <c r="AP1336" s="34"/>
      <c r="AQ1336" s="34"/>
      <c r="AR1336" s="34"/>
      <c r="AS1336" s="34"/>
    </row>
    <row r="1337" spans="1:45" x14ac:dyDescent="0.2">
      <c r="C1337" s="3" t="s">
        <v>367</v>
      </c>
      <c r="D1337" s="19">
        <f>3284095/1000</f>
        <v>3284.0949999999998</v>
      </c>
      <c r="E1337" s="19"/>
      <c r="F1337" s="19"/>
      <c r="G1337" s="19"/>
      <c r="H1337" s="19">
        <f>3284095/1000</f>
        <v>3284.0949999999998</v>
      </c>
      <c r="I1337" s="19"/>
      <c r="J1337" s="19"/>
      <c r="K1337" s="19"/>
      <c r="L1337" s="19"/>
      <c r="M1337" s="19"/>
      <c r="N1337" s="19"/>
      <c r="O1337" s="19"/>
      <c r="P1337" s="19"/>
      <c r="Q1337" s="19"/>
      <c r="R1337" s="19">
        <v>0</v>
      </c>
      <c r="S1337" s="19"/>
      <c r="T1337" s="19"/>
      <c r="U1337" s="19"/>
      <c r="V1337" s="19"/>
      <c r="W1337" s="19"/>
      <c r="X1337" s="19"/>
      <c r="Y1337" s="19">
        <f t="shared" si="249"/>
        <v>3284.0949999999998</v>
      </c>
      <c r="Z1337" s="19">
        <f t="shared" si="250"/>
        <v>0</v>
      </c>
      <c r="AA1337" s="19"/>
      <c r="AB1337" s="19"/>
      <c r="AC1337" s="19"/>
      <c r="AD1337" s="19"/>
      <c r="AF1337" s="34"/>
      <c r="AG1337" s="34"/>
      <c r="AH1337" s="34"/>
      <c r="AI1337" s="34"/>
      <c r="AJ1337" s="34"/>
      <c r="AK1337" s="34"/>
      <c r="AL1337" s="34"/>
      <c r="AM1337" s="34"/>
      <c r="AN1337" s="34"/>
      <c r="AO1337" s="34"/>
      <c r="AP1337" s="34"/>
      <c r="AQ1337" s="34"/>
      <c r="AR1337" s="34"/>
      <c r="AS1337" s="34"/>
    </row>
    <row r="1338" spans="1:45" x14ac:dyDescent="0.2">
      <c r="C1338" s="3" t="s">
        <v>368</v>
      </c>
      <c r="D1338" s="19">
        <f>3000000/1000</f>
        <v>3000</v>
      </c>
      <c r="E1338" s="19"/>
      <c r="F1338" s="19"/>
      <c r="G1338" s="19"/>
      <c r="H1338" s="19">
        <f>3000000/1000</f>
        <v>3000</v>
      </c>
      <c r="I1338" s="19"/>
      <c r="J1338" s="19"/>
      <c r="K1338" s="19"/>
      <c r="L1338" s="19"/>
      <c r="M1338" s="19"/>
      <c r="N1338" s="19"/>
      <c r="O1338" s="19"/>
      <c r="P1338" s="19"/>
      <c r="Q1338" s="19"/>
      <c r="R1338" s="19">
        <v>0</v>
      </c>
      <c r="S1338" s="19"/>
      <c r="T1338" s="19"/>
      <c r="U1338" s="19"/>
      <c r="V1338" s="19"/>
      <c r="W1338" s="19"/>
      <c r="X1338" s="19"/>
      <c r="Y1338" s="19">
        <f t="shared" si="249"/>
        <v>3000</v>
      </c>
      <c r="Z1338" s="19">
        <f t="shared" si="250"/>
        <v>0</v>
      </c>
      <c r="AA1338" s="19"/>
      <c r="AB1338" s="19"/>
      <c r="AC1338" s="19"/>
      <c r="AD1338" s="19"/>
      <c r="AF1338" s="34"/>
      <c r="AG1338" s="34"/>
      <c r="AH1338" s="34"/>
      <c r="AI1338" s="34"/>
      <c r="AJ1338" s="34"/>
      <c r="AK1338" s="34"/>
      <c r="AL1338" s="34"/>
      <c r="AM1338" s="34"/>
      <c r="AN1338" s="34"/>
      <c r="AO1338" s="34"/>
      <c r="AP1338" s="34"/>
      <c r="AQ1338" s="34"/>
      <c r="AR1338" s="34"/>
      <c r="AS1338" s="34"/>
    </row>
    <row r="1339" spans="1:45" x14ac:dyDescent="0.2">
      <c r="A1339" s="18"/>
      <c r="C1339" s="3" t="s">
        <v>96</v>
      </c>
      <c r="D1339" s="19">
        <f>3593720/1000</f>
        <v>3593.72</v>
      </c>
      <c r="E1339" s="19">
        <f>[1]TOBEPAID!E1012/1000</f>
        <v>0</v>
      </c>
      <c r="F1339" s="19">
        <f>[1]TOBEPAID!F1012/1000</f>
        <v>0</v>
      </c>
      <c r="G1339" s="19">
        <f>[1]TOBEPAID!G1012/1000</f>
        <v>0</v>
      </c>
      <c r="H1339" s="19">
        <v>0</v>
      </c>
      <c r="I1339" s="19">
        <f>[1]TOBEPAID!I1012/1000</f>
        <v>0</v>
      </c>
      <c r="J1339" s="19">
        <f>[1]TOBEPAID!J1012/1000</f>
        <v>0</v>
      </c>
      <c r="K1339" s="19">
        <f>[1]TOBEPAID!K1012/1000</f>
        <v>0</v>
      </c>
      <c r="L1339" s="19">
        <f>[1]TOBEPAID!L1012/1000</f>
        <v>0</v>
      </c>
      <c r="M1339" s="19">
        <f>[1]TOBEPAID!M1012/1000</f>
        <v>0</v>
      </c>
      <c r="N1339" s="19">
        <f>[1]TOBEPAID!N1012/1000</f>
        <v>0</v>
      </c>
      <c r="O1339" s="19">
        <f>[1]TOBEPAID!O1012/1000</f>
        <v>3593.7202800000005</v>
      </c>
      <c r="P1339" s="19">
        <f>[1]TOBEPAID!P1012/1000</f>
        <v>0</v>
      </c>
      <c r="Q1339" s="19">
        <f>[1]TOBEPAID!Q1012/1000</f>
        <v>0</v>
      </c>
      <c r="R1339" s="19">
        <f>3593720/1000</f>
        <v>3593.72</v>
      </c>
      <c r="S1339" s="19">
        <f>[1]TOBEPAID!S1012/1000</f>
        <v>0</v>
      </c>
      <c r="T1339" s="19">
        <f>[1]TOBEPAID!T1012/1000</f>
        <v>0</v>
      </c>
      <c r="U1339" s="19">
        <f>[1]TOBEPAID!U1012/1000</f>
        <v>0</v>
      </c>
      <c r="V1339" s="19">
        <f>[1]TOBEPAID!V1012/1000</f>
        <v>0</v>
      </c>
      <c r="W1339" s="19">
        <f>[1]TOBEPAID!W1012/1000</f>
        <v>0</v>
      </c>
      <c r="X1339" s="19">
        <f>[1]TOBEPAID!X1012/1000</f>
        <v>3593.7202800000005</v>
      </c>
      <c r="Y1339" s="19">
        <f t="shared" si="249"/>
        <v>3593.72</v>
      </c>
      <c r="Z1339" s="19">
        <f t="shared" si="250"/>
        <v>0</v>
      </c>
      <c r="AA1339" s="19">
        <f>[1]TOBEPAID!AA1012/1000</f>
        <v>3593.7202800000005</v>
      </c>
      <c r="AB1339" s="19">
        <f>[1]TOBEPAID!AB1012/1000</f>
        <v>0</v>
      </c>
      <c r="AC1339" s="19"/>
      <c r="AD1339" s="19"/>
      <c r="AF1339" s="34">
        <f>+D1320+D1295</f>
        <v>8598.3250000000007</v>
      </c>
      <c r="AG1339" s="34">
        <f>+E1320+E1295</f>
        <v>8598.3265200000005</v>
      </c>
      <c r="AH1339" s="34">
        <f>+F1320+F1295</f>
        <v>0</v>
      </c>
      <c r="AI1339" s="34">
        <f>+AG1339+AH1339</f>
        <v>8598.3265200000005</v>
      </c>
      <c r="AJ1339" s="34">
        <f>+L1320+L1295</f>
        <v>0</v>
      </c>
      <c r="AK1339" s="34">
        <f>+AI1339+AJ1339</f>
        <v>8598.3265200000005</v>
      </c>
      <c r="AL1339" s="34">
        <f>+O1320+O1295</f>
        <v>0</v>
      </c>
      <c r="AM1339" s="34">
        <f>+P1320+P1295</f>
        <v>0</v>
      </c>
      <c r="AN1339" s="34">
        <f>+AL1339+AM1339</f>
        <v>0</v>
      </c>
      <c r="AO1339" s="34">
        <f>+V1320+V1295</f>
        <v>0</v>
      </c>
      <c r="AP1339" s="34">
        <f>+AN1339+AO1339</f>
        <v>0</v>
      </c>
      <c r="AQ1339" s="34">
        <f>+AI1339+AN1339</f>
        <v>8598.3265200000005</v>
      </c>
      <c r="AR1339" s="34">
        <f>+AF1339-AQ1339</f>
        <v>-1.5199999998003477E-3</v>
      </c>
      <c r="AS1339" s="34">
        <f>+AF1340-AK1340-AP1340</f>
        <v>1427544.89805</v>
      </c>
    </row>
    <row r="1340" spans="1:45" x14ac:dyDescent="0.2">
      <c r="A1340" s="18"/>
      <c r="C1340" s="3" t="s">
        <v>97</v>
      </c>
      <c r="D1340" s="19">
        <f>[1]TOBEPAID!D1013/1000</f>
        <v>10192.733540000001</v>
      </c>
      <c r="E1340" s="19">
        <f>[1]TOBEPAID!E1013/1000</f>
        <v>0</v>
      </c>
      <c r="F1340" s="19">
        <f>[1]TOBEPAID!F1013/1000</f>
        <v>0</v>
      </c>
      <c r="G1340" s="19">
        <f>[1]TOBEPAID!G1013/1000</f>
        <v>0</v>
      </c>
      <c r="H1340" s="19">
        <v>0</v>
      </c>
      <c r="I1340" s="19">
        <f>[1]TOBEPAID!I1013/1000</f>
        <v>0</v>
      </c>
      <c r="J1340" s="19">
        <f>[1]TOBEPAID!J1013/1000</f>
        <v>0</v>
      </c>
      <c r="K1340" s="19">
        <f>[1]TOBEPAID!K1013/1000</f>
        <v>0</v>
      </c>
      <c r="L1340" s="19">
        <f>[1]TOBEPAID!L1013/1000</f>
        <v>0</v>
      </c>
      <c r="M1340" s="19">
        <f>[1]TOBEPAID!M1013/1000</f>
        <v>0</v>
      </c>
      <c r="N1340" s="19">
        <f>[1]TOBEPAID!N1013/1000</f>
        <v>0</v>
      </c>
      <c r="O1340" s="19">
        <f>[1]TOBEPAID!O1013/1000</f>
        <v>10192.733539999999</v>
      </c>
      <c r="P1340" s="19">
        <f>[1]TOBEPAID!P1013/1000</f>
        <v>0</v>
      </c>
      <c r="Q1340" s="19">
        <f>[1]TOBEPAID!Q1013/1000</f>
        <v>0</v>
      </c>
      <c r="R1340" s="19">
        <f>10192733/1000</f>
        <v>10192.733</v>
      </c>
      <c r="S1340" s="19">
        <f>[1]TOBEPAID!S1013/1000</f>
        <v>0</v>
      </c>
      <c r="T1340" s="19">
        <f>[1]TOBEPAID!T1013/1000</f>
        <v>0</v>
      </c>
      <c r="U1340" s="19">
        <f>[1]TOBEPAID!U1013/1000</f>
        <v>0</v>
      </c>
      <c r="V1340" s="19">
        <f>[1]TOBEPAID!V1013/1000</f>
        <v>0</v>
      </c>
      <c r="W1340" s="19">
        <f>[1]TOBEPAID!W1013/1000</f>
        <v>0</v>
      </c>
      <c r="X1340" s="19">
        <f>[1]TOBEPAID!X1013/1000</f>
        <v>10192.733539999999</v>
      </c>
      <c r="Y1340" s="19">
        <f t="shared" si="249"/>
        <v>10192.733</v>
      </c>
      <c r="Z1340" s="19">
        <f t="shared" si="250"/>
        <v>5.4000000091036782E-4</v>
      </c>
      <c r="AA1340" s="19">
        <f>[1]TOBEPAID!AA1013/1000</f>
        <v>10192.733539999999</v>
      </c>
      <c r="AB1340" s="19">
        <f>[1]TOBEPAID!AB1013/1000</f>
        <v>0</v>
      </c>
      <c r="AC1340" s="19"/>
      <c r="AD1340" s="19"/>
      <c r="AE1340" s="25" t="s">
        <v>72</v>
      </c>
      <c r="AF1340" s="34">
        <f>+D1310+D1346+D1334</f>
        <v>1506635.7869799999</v>
      </c>
      <c r="AG1340" s="34">
        <f>+E1310+E1346+E1334</f>
        <v>71096.245569999999</v>
      </c>
      <c r="AH1340" s="34">
        <f>+F1310+F1346+F1334</f>
        <v>7994.64336</v>
      </c>
      <c r="AI1340" s="34">
        <f>+AG1340+AH1340</f>
        <v>79090.888930000001</v>
      </c>
      <c r="AJ1340" s="34">
        <f>+L1310+L1346+L1334</f>
        <v>0</v>
      </c>
      <c r="AK1340" s="34">
        <f>+AI1340+AJ1340</f>
        <v>79090.888930000001</v>
      </c>
      <c r="AL1340" s="34">
        <f>+O1310+O1346+O1334</f>
        <v>0</v>
      </c>
      <c r="AM1340" s="34">
        <f>+P1310+P1346+P1334</f>
        <v>0</v>
      </c>
      <c r="AN1340" s="34">
        <f>+AL1340+AM1340</f>
        <v>0</v>
      </c>
      <c r="AO1340" s="34">
        <f>+V1310+V1346+V1334</f>
        <v>0</v>
      </c>
      <c r="AP1340" s="34">
        <f>+AN1340+AO1340</f>
        <v>0</v>
      </c>
      <c r="AQ1340" s="34">
        <f>+AI1340+AN1340</f>
        <v>79090.888930000001</v>
      </c>
      <c r="AR1340" s="34">
        <f>+AF1340-AQ1340</f>
        <v>1427544.89805</v>
      </c>
      <c r="AS1340" s="34">
        <f>+AF1341-AK1341-AP1341</f>
        <v>-8725.1204399999988</v>
      </c>
    </row>
    <row r="1341" spans="1:45" x14ac:dyDescent="0.2">
      <c r="A1341" s="18"/>
      <c r="D1341" s="21" t="s">
        <v>57</v>
      </c>
      <c r="E1341" s="21" t="s">
        <v>57</v>
      </c>
      <c r="F1341" s="21" t="s">
        <v>57</v>
      </c>
      <c r="G1341" s="21"/>
      <c r="H1341" s="21" t="s">
        <v>57</v>
      </c>
      <c r="I1341" s="21" t="s">
        <v>57</v>
      </c>
      <c r="J1341" s="21" t="s">
        <v>57</v>
      </c>
      <c r="K1341" s="21" t="s">
        <v>57</v>
      </c>
      <c r="L1341" s="21" t="s">
        <v>57</v>
      </c>
      <c r="M1341" s="21"/>
      <c r="N1341" s="21" t="s">
        <v>57</v>
      </c>
      <c r="O1341" s="21" t="s">
        <v>57</v>
      </c>
      <c r="P1341" s="21" t="s">
        <v>57</v>
      </c>
      <c r="Q1341" s="21"/>
      <c r="R1341" s="21" t="s">
        <v>57</v>
      </c>
      <c r="S1341" s="21" t="s">
        <v>57</v>
      </c>
      <c r="T1341" s="21" t="s">
        <v>57</v>
      </c>
      <c r="U1341" s="21" t="s">
        <v>57</v>
      </c>
      <c r="V1341" s="21" t="s">
        <v>57</v>
      </c>
      <c r="W1341" s="21"/>
      <c r="X1341" s="21" t="s">
        <v>57</v>
      </c>
      <c r="Y1341" s="21" t="s">
        <v>57</v>
      </c>
      <c r="Z1341" s="21" t="s">
        <v>57</v>
      </c>
      <c r="AA1341" s="21" t="s">
        <v>57</v>
      </c>
      <c r="AB1341" s="21" t="s">
        <v>57</v>
      </c>
      <c r="AC1341" s="21"/>
      <c r="AD1341" s="21"/>
      <c r="AE1341" s="33" t="s">
        <v>111</v>
      </c>
      <c r="AF1341" s="33">
        <f>+D1309</f>
        <v>0</v>
      </c>
      <c r="AG1341" s="3">
        <f>+E1309</f>
        <v>8725.1204399999988</v>
      </c>
      <c r="AH1341" s="3">
        <f>+F1309</f>
        <v>0</v>
      </c>
      <c r="AI1341" s="34">
        <f>+AG1341+AH1341</f>
        <v>8725.1204399999988</v>
      </c>
      <c r="AJ1341" s="34">
        <f>+L1309</f>
        <v>0</v>
      </c>
      <c r="AK1341" s="34">
        <f>+AI1341+AJ1341</f>
        <v>8725.1204399999988</v>
      </c>
      <c r="AL1341" s="34">
        <f>+O1309</f>
        <v>0</v>
      </c>
      <c r="AM1341" s="34">
        <f>+P1309</f>
        <v>0</v>
      </c>
      <c r="AN1341" s="34">
        <f>+AL1341+AM1341</f>
        <v>0</v>
      </c>
      <c r="AO1341" s="34">
        <f>+V1309</f>
        <v>0</v>
      </c>
      <c r="AP1341" s="34">
        <f>+AN1341+AO1341</f>
        <v>0</v>
      </c>
      <c r="AQ1341" s="34">
        <f>+AI1341+AN1341</f>
        <v>8725.1204399999988</v>
      </c>
      <c r="AR1341" s="34">
        <f>+AF1341-AQ1341</f>
        <v>-8725.1204399999988</v>
      </c>
      <c r="AS1341" s="34">
        <f>+AF1342-AK1342-AP1342</f>
        <v>249579.40159000002</v>
      </c>
    </row>
    <row r="1342" spans="1:45" x14ac:dyDescent="0.2">
      <c r="A1342" s="18"/>
      <c r="D1342" s="35">
        <f>SUM(D1332:D1340)</f>
        <v>612639.40530999994</v>
      </c>
      <c r="E1342" s="35">
        <f>SUM(E1332:E1340)</f>
        <v>6217.1965199999995</v>
      </c>
      <c r="F1342" s="35">
        <f>SUM(F1332:F1340)</f>
        <v>2718.7767200000003</v>
      </c>
      <c r="G1342" s="35"/>
      <c r="H1342" s="35">
        <f>SUM(H1332:H1340)</f>
        <v>598682.46576999989</v>
      </c>
      <c r="I1342" s="35">
        <f>SUM(I1332:I1340)</f>
        <v>0</v>
      </c>
      <c r="J1342" s="35">
        <f>SUM(J1332:J1340)</f>
        <v>0</v>
      </c>
      <c r="K1342" s="35">
        <f>SUM(K1332:K1340)</f>
        <v>0</v>
      </c>
      <c r="L1342" s="35">
        <f>SUM(L1332:L1340)</f>
        <v>0</v>
      </c>
      <c r="M1342" s="35"/>
      <c r="N1342" s="35">
        <f>SUM(N1332:N1340)</f>
        <v>8935.9732399999994</v>
      </c>
      <c r="O1342" s="35">
        <f>SUM(O1332:O1340)</f>
        <v>13786.453819999999</v>
      </c>
      <c r="P1342" s="35">
        <f>SUM(P1332:P1340)</f>
        <v>0</v>
      </c>
      <c r="Q1342" s="35"/>
      <c r="R1342" s="35">
        <f>SUM(R1332:R1340)</f>
        <v>13873.453</v>
      </c>
      <c r="S1342" s="35">
        <f>SUM(S1332:S1340)</f>
        <v>0</v>
      </c>
      <c r="T1342" s="35">
        <f>SUM(T1332:T1340)</f>
        <v>0</v>
      </c>
      <c r="U1342" s="35">
        <f>SUM(U1332:U1340)</f>
        <v>0</v>
      </c>
      <c r="V1342" s="35">
        <f>SUM(V1332:V1340)</f>
        <v>0</v>
      </c>
      <c r="W1342" s="35"/>
      <c r="X1342" s="35">
        <f>SUM(X1332:X1340)</f>
        <v>13786.453819999999</v>
      </c>
      <c r="Y1342" s="35">
        <f>SUM(Y1332:Y1340)</f>
        <v>612555.91876999987</v>
      </c>
      <c r="Z1342" s="35">
        <f>SUM(Z1332:Z1340)</f>
        <v>83.486540000001696</v>
      </c>
      <c r="AA1342" s="35">
        <f>SUM(AA1332:AA1340)</f>
        <v>22722.427060000002</v>
      </c>
      <c r="AB1342" s="35">
        <f>SUM(AB1332:AB1340)</f>
        <v>15170.486940000001</v>
      </c>
      <c r="AC1342" s="35"/>
      <c r="AD1342" s="35"/>
      <c r="AE1342" s="25" t="s">
        <v>369</v>
      </c>
      <c r="AF1342" s="34">
        <f>D1275+D1291+D1305+D1317+D1327+D1332+D1345</f>
        <v>259056.29200000002</v>
      </c>
      <c r="AG1342" s="34">
        <f>E1275+E1291+E1305+E1317+E1327+E1332+E1345</f>
        <v>8500</v>
      </c>
      <c r="AH1342" s="34">
        <f>F1275+F1291+F1305+F1317+F1327+F1332+F1345</f>
        <v>0</v>
      </c>
      <c r="AI1342" s="34">
        <f>+AG1342+AH1342</f>
        <v>8500</v>
      </c>
      <c r="AJ1342" s="34">
        <f>L1275+L1291+L1305+L1317+L1327+L1332+L1345</f>
        <v>0</v>
      </c>
      <c r="AK1342" s="34">
        <f>+AI1342+AJ1342</f>
        <v>8500</v>
      </c>
      <c r="AL1342" s="34">
        <f>O1275+O1291+O1305+O1317+O1327+O1332+O1345</f>
        <v>976.89040999999997</v>
      </c>
      <c r="AM1342" s="34">
        <f>P1275+P1291+P1305+P1317+P1327+P1332+P1345</f>
        <v>0</v>
      </c>
      <c r="AN1342" s="34">
        <f>+AL1342+AM1342</f>
        <v>976.89040999999997</v>
      </c>
      <c r="AO1342" s="34">
        <f>V1275+V1291+V1305+V1317+V1327+V1332+V1345</f>
        <v>0</v>
      </c>
      <c r="AP1342" s="34">
        <f>+AN1342+AO1342</f>
        <v>976.89040999999997</v>
      </c>
      <c r="AQ1342" s="34">
        <f>+AI1342+AN1342</f>
        <v>9476.89041</v>
      </c>
      <c r="AR1342" s="34">
        <f>+AF1342-AQ1342</f>
        <v>249579.40159000002</v>
      </c>
      <c r="AS1342" s="34">
        <f>+AF1343-AK1343-AP1343</f>
        <v>-5.1999999959662091E-4</v>
      </c>
    </row>
    <row r="1343" spans="1:45" x14ac:dyDescent="0.2">
      <c r="A1343" s="18"/>
      <c r="D1343" s="21" t="s">
        <v>57</v>
      </c>
      <c r="E1343" s="21" t="s">
        <v>57</v>
      </c>
      <c r="F1343" s="21" t="s">
        <v>57</v>
      </c>
      <c r="G1343" s="21"/>
      <c r="H1343" s="21" t="s">
        <v>57</v>
      </c>
      <c r="I1343" s="21" t="s">
        <v>57</v>
      </c>
      <c r="J1343" s="21" t="s">
        <v>57</v>
      </c>
      <c r="K1343" s="21" t="s">
        <v>57</v>
      </c>
      <c r="L1343" s="21" t="s">
        <v>57</v>
      </c>
      <c r="M1343" s="21"/>
      <c r="N1343" s="21" t="s">
        <v>57</v>
      </c>
      <c r="O1343" s="21" t="s">
        <v>57</v>
      </c>
      <c r="P1343" s="21" t="s">
        <v>57</v>
      </c>
      <c r="Q1343" s="21"/>
      <c r="R1343" s="21" t="s">
        <v>57</v>
      </c>
      <c r="S1343" s="21" t="s">
        <v>57</v>
      </c>
      <c r="T1343" s="21" t="s">
        <v>57</v>
      </c>
      <c r="U1343" s="21" t="s">
        <v>57</v>
      </c>
      <c r="V1343" s="21" t="s">
        <v>57</v>
      </c>
      <c r="W1343" s="21"/>
      <c r="X1343" s="21" t="s">
        <v>57</v>
      </c>
      <c r="Y1343" s="21" t="s">
        <v>57</v>
      </c>
      <c r="Z1343" s="21" t="s">
        <v>57</v>
      </c>
      <c r="AA1343" s="21" t="s">
        <v>57</v>
      </c>
      <c r="AB1343" s="21" t="s">
        <v>57</v>
      </c>
      <c r="AC1343" s="21"/>
      <c r="AD1343" s="21"/>
      <c r="AE1343" s="25" t="s">
        <v>85</v>
      </c>
      <c r="AF1343" s="34">
        <f>D1294+D1306+D1321+D1333</f>
        <v>5179.92</v>
      </c>
      <c r="AG1343" s="34">
        <f>E1294+E1306+E1321+E1333</f>
        <v>5179.9205199999997</v>
      </c>
      <c r="AH1343" s="34">
        <f>F1294+F1306+F1321+F1333</f>
        <v>0</v>
      </c>
      <c r="AI1343" s="34">
        <f>+AG1343+AH1343</f>
        <v>5179.9205199999997</v>
      </c>
      <c r="AJ1343" s="34">
        <f>L1294+L1306+L1321+L1333</f>
        <v>0</v>
      </c>
      <c r="AK1343" s="34">
        <f>+AI1343+AJ1343</f>
        <v>5179.9205199999997</v>
      </c>
      <c r="AL1343" s="34">
        <f>O1294+O1306+O1321+O1333</f>
        <v>0</v>
      </c>
      <c r="AM1343" s="34">
        <f>P1294+P1306+P1321+P1333</f>
        <v>0</v>
      </c>
      <c r="AN1343" s="34">
        <f>+AL1343+AM1343</f>
        <v>0</v>
      </c>
      <c r="AO1343" s="34">
        <f>V1294+V1306+V1321+V1333</f>
        <v>0</v>
      </c>
      <c r="AP1343" s="34">
        <f>+AN1343+AO1343</f>
        <v>0</v>
      </c>
      <c r="AQ1343" s="34">
        <f>+AI1343+AN1343</f>
        <v>5179.9205199999997</v>
      </c>
      <c r="AR1343" s="34">
        <f>+AF1343-AQ1343</f>
        <v>-5.1999999959662091E-4</v>
      </c>
    </row>
    <row r="1344" spans="1:45" x14ac:dyDescent="0.2">
      <c r="A1344" s="18"/>
      <c r="D1344" s="21"/>
      <c r="E1344" s="21" t="s">
        <v>57</v>
      </c>
      <c r="F1344" s="21" t="s">
        <v>57</v>
      </c>
      <c r="G1344" s="21"/>
      <c r="H1344" s="21"/>
      <c r="I1344" s="21" t="s">
        <v>57</v>
      </c>
      <c r="J1344" s="21" t="s">
        <v>57</v>
      </c>
      <c r="K1344" s="21" t="s">
        <v>57</v>
      </c>
      <c r="L1344" s="21" t="s">
        <v>57</v>
      </c>
      <c r="M1344" s="21"/>
      <c r="N1344" s="21" t="s">
        <v>57</v>
      </c>
      <c r="O1344" s="21" t="s">
        <v>57</v>
      </c>
      <c r="P1344" s="21" t="s">
        <v>57</v>
      </c>
      <c r="Q1344" s="21"/>
      <c r="R1344" s="21"/>
      <c r="S1344" s="21" t="s">
        <v>57</v>
      </c>
      <c r="T1344" s="21" t="s">
        <v>57</v>
      </c>
      <c r="U1344" s="21" t="s">
        <v>57</v>
      </c>
      <c r="V1344" s="21" t="s">
        <v>57</v>
      </c>
      <c r="W1344" s="21"/>
      <c r="X1344" s="21" t="s">
        <v>57</v>
      </c>
      <c r="Y1344" s="21"/>
      <c r="Z1344" s="21"/>
      <c r="AA1344" s="21"/>
      <c r="AB1344" s="21"/>
      <c r="AC1344" s="21"/>
      <c r="AD1344" s="21"/>
      <c r="AE1344" s="25"/>
      <c r="AF1344" s="34"/>
      <c r="AG1344" s="34"/>
      <c r="AH1344" s="34"/>
      <c r="AI1344" s="34"/>
      <c r="AJ1344" s="34"/>
      <c r="AK1344" s="34"/>
      <c r="AL1344" s="34"/>
      <c r="AM1344" s="34"/>
      <c r="AN1344" s="34"/>
      <c r="AO1344" s="34"/>
      <c r="AP1344" s="34"/>
      <c r="AQ1344" s="34"/>
      <c r="AR1344" s="34"/>
    </row>
    <row r="1345" spans="1:45" x14ac:dyDescent="0.2">
      <c r="A1345" s="18">
        <v>106</v>
      </c>
      <c r="B1345" s="3" t="s">
        <v>370</v>
      </c>
      <c r="C1345" s="17" t="s">
        <v>51</v>
      </c>
      <c r="D1345" s="19">
        <f>66104767/1000</f>
        <v>66104.767000000007</v>
      </c>
      <c r="E1345" s="19">
        <f>[1]TOBEPAID!E1017/1000</f>
        <v>0</v>
      </c>
      <c r="F1345" s="19">
        <f>[1]TOBEPAID!F1017/1000</f>
        <v>0</v>
      </c>
      <c r="G1345" s="19">
        <f>[1]TOBEPAID!G1017/1000</f>
        <v>0</v>
      </c>
      <c r="H1345" s="19">
        <f>39299610/1000</f>
        <v>39299.61</v>
      </c>
      <c r="I1345" s="19">
        <f>[1]TOBEPAID!I1017/1000</f>
        <v>0</v>
      </c>
      <c r="J1345" s="19">
        <f>[1]TOBEPAID!J1017/1000</f>
        <v>0</v>
      </c>
      <c r="K1345" s="19">
        <f>[1]TOBEPAID!K1017/1000</f>
        <v>0</v>
      </c>
      <c r="L1345" s="19">
        <f>[1]TOBEPAID!L1017/1000</f>
        <v>0</v>
      </c>
      <c r="M1345" s="19">
        <f>[1]TOBEPAID!M1017/1000</f>
        <v>0</v>
      </c>
      <c r="N1345" s="19">
        <f>[1]TOBEPAID!N1017/1000</f>
        <v>0</v>
      </c>
      <c r="O1345" s="19">
        <f>[1]TOBEPAID!O1017/1000</f>
        <v>423.22098</v>
      </c>
      <c r="P1345" s="19">
        <f>[1]TOBEPAID!P1017/1000</f>
        <v>0</v>
      </c>
      <c r="Q1345" s="19">
        <f>[1]TOBEPAID!Q1017/1000</f>
        <v>0</v>
      </c>
      <c r="R1345" s="19">
        <f>471180.3/1000</f>
        <v>471.18029999999999</v>
      </c>
      <c r="S1345" s="19">
        <f>[1]TOBEPAID!S1017/1000</f>
        <v>0</v>
      </c>
      <c r="T1345" s="19">
        <f>[1]TOBEPAID!T1017/1000</f>
        <v>0</v>
      </c>
      <c r="U1345" s="19">
        <f>[1]TOBEPAID!U1017/1000</f>
        <v>0</v>
      </c>
      <c r="V1345" s="19">
        <f>[1]TOBEPAID!V1017/1000</f>
        <v>0</v>
      </c>
      <c r="W1345" s="19">
        <f>[1]TOBEPAID!W1017/1000</f>
        <v>0</v>
      </c>
      <c r="X1345" s="19">
        <f>[1]TOBEPAID!X1017/1000</f>
        <v>423.22098</v>
      </c>
      <c r="Y1345" s="19">
        <f>+H1345+R1345</f>
        <v>39770.790300000001</v>
      </c>
      <c r="Z1345" s="19">
        <f>+D1345-Y1345</f>
        <v>26333.976700000007</v>
      </c>
      <c r="AA1345" s="19">
        <f>[1]TOBEPAID!AA1017/1000</f>
        <v>423.22098</v>
      </c>
      <c r="AB1345" s="19">
        <f>[1]TOBEPAID!AB1017/1000</f>
        <v>52570.287200000006</v>
      </c>
      <c r="AC1345" s="19"/>
      <c r="AD1345" s="19"/>
      <c r="AE1345" s="25" t="s">
        <v>52</v>
      </c>
    </row>
    <row r="1346" spans="1:45" x14ac:dyDescent="0.2">
      <c r="C1346" s="3" t="s">
        <v>67</v>
      </c>
      <c r="D1346" s="19">
        <f>389442500/1000</f>
        <v>389442.5</v>
      </c>
      <c r="E1346" s="19">
        <f>[1]TOBEPAID!E1018/1000</f>
        <v>5000</v>
      </c>
      <c r="F1346" s="19">
        <f>[1]TOBEPAID!F1018/1000</f>
        <v>0</v>
      </c>
      <c r="G1346" s="19">
        <f>[1]TOBEPAID!G1018/1000</f>
        <v>0</v>
      </c>
      <c r="H1346" s="19">
        <f>389442500/1000</f>
        <v>389442.5</v>
      </c>
      <c r="I1346" s="19">
        <f>[1]TOBEPAID!I1018/1000</f>
        <v>0</v>
      </c>
      <c r="J1346" s="19">
        <f>[1]TOBEPAID!J1018/1000</f>
        <v>0</v>
      </c>
      <c r="K1346" s="19">
        <f>[1]TOBEPAID!K1018/1000</f>
        <v>0</v>
      </c>
      <c r="L1346" s="19">
        <f>[1]TOBEPAID!L1018/1000</f>
        <v>0</v>
      </c>
      <c r="M1346" s="19">
        <f>[1]TOBEPAID!M1018/1000</f>
        <v>0</v>
      </c>
      <c r="N1346" s="19">
        <f>[1]TOBEPAID!N1018/1000</f>
        <v>5000</v>
      </c>
      <c r="O1346" s="19">
        <f>[1]TOBEPAID!O1018/1000</f>
        <v>0</v>
      </c>
      <c r="P1346" s="19">
        <f>[1]TOBEPAID!P1018/1000</f>
        <v>0</v>
      </c>
      <c r="Q1346" s="19">
        <f>[1]TOBEPAID!Q1018/1000</f>
        <v>0</v>
      </c>
      <c r="R1346" s="19">
        <v>0</v>
      </c>
      <c r="S1346" s="19">
        <f>[1]TOBEPAID!S1018/1000</f>
        <v>0</v>
      </c>
      <c r="T1346" s="19">
        <f>[1]TOBEPAID!T1018/1000</f>
        <v>0</v>
      </c>
      <c r="U1346" s="19">
        <f>[1]TOBEPAID!U1018/1000</f>
        <v>0</v>
      </c>
      <c r="V1346" s="19">
        <f>[1]TOBEPAID!V1018/1000</f>
        <v>0</v>
      </c>
      <c r="W1346" s="19">
        <f>[1]TOBEPAID!W1018/1000</f>
        <v>0</v>
      </c>
      <c r="X1346" s="19">
        <f>[1]TOBEPAID!X1018/1000</f>
        <v>0</v>
      </c>
      <c r="Y1346" s="19">
        <f>+H1346+R1346</f>
        <v>389442.5</v>
      </c>
      <c r="Z1346" s="19">
        <f>+D1346-Y1346</f>
        <v>0</v>
      </c>
      <c r="AA1346" s="19">
        <f>[1]TOBEPAID!AA1018/1000</f>
        <v>5000</v>
      </c>
      <c r="AB1346" s="19">
        <f>[1]TOBEPAID!AB1018/1000</f>
        <v>0</v>
      </c>
      <c r="AC1346" s="19"/>
      <c r="AD1346" s="19"/>
      <c r="AS1346" s="34">
        <f>+AF1347-AK1347-AP1347</f>
        <v>0.17014999999992142</v>
      </c>
    </row>
    <row r="1347" spans="1:45" x14ac:dyDescent="0.2">
      <c r="C1347" s="3" t="s">
        <v>75</v>
      </c>
      <c r="D1347" s="3">
        <f>4095443.35/1000</f>
        <v>4095.44335</v>
      </c>
      <c r="H1347" s="3">
        <f>4095443.35/1000</f>
        <v>4095.44335</v>
      </c>
      <c r="R1347" s="3">
        <v>0</v>
      </c>
      <c r="Y1347" s="19">
        <f>+H1347+R1347</f>
        <v>4095.44335</v>
      </c>
      <c r="Z1347" s="19">
        <f>+D1347-Y1347</f>
        <v>0</v>
      </c>
      <c r="AF1347" s="34">
        <f>D1283+D1299+D1312</f>
        <v>1088</v>
      </c>
      <c r="AG1347" s="34">
        <f>E1283+E1299+E1312</f>
        <v>0</v>
      </c>
      <c r="AH1347" s="34">
        <f>F1283+F1299+F1312</f>
        <v>0</v>
      </c>
      <c r="AI1347" s="34">
        <f>+AG1347+AH1347</f>
        <v>0</v>
      </c>
      <c r="AJ1347" s="34">
        <f>L1283+L1299+L1312</f>
        <v>0</v>
      </c>
      <c r="AK1347" s="34">
        <f>+AI1347+AJ1347</f>
        <v>0</v>
      </c>
      <c r="AL1347" s="34">
        <f>O1283+O1299+O1312</f>
        <v>1087.8298500000001</v>
      </c>
      <c r="AM1347" s="34">
        <f>P1283+P1299+P1312</f>
        <v>0</v>
      </c>
      <c r="AN1347" s="34">
        <f>+AL1347+AM1347</f>
        <v>1087.8298500000001</v>
      </c>
      <c r="AO1347" s="34">
        <f>V1283+V1299+V1312</f>
        <v>0</v>
      </c>
      <c r="AP1347" s="34">
        <f>+AN1347+AO1347</f>
        <v>1087.8298500000001</v>
      </c>
      <c r="AQ1347" s="34">
        <f>+AI1347+AN1347</f>
        <v>1087.8298500000001</v>
      </c>
      <c r="AR1347" s="34">
        <f>+AF1347-AQ1347</f>
        <v>0.17014999999992142</v>
      </c>
      <c r="AS1347" s="34">
        <f>+AF1348-AK1348-AP1348</f>
        <v>-4.4999999988704076E-4</v>
      </c>
    </row>
    <row r="1348" spans="1:45" x14ac:dyDescent="0.2">
      <c r="A1348" s="18"/>
      <c r="C1348" s="3" t="s">
        <v>96</v>
      </c>
      <c r="D1348" s="19">
        <f>8204233/1000</f>
        <v>8204.2330000000002</v>
      </c>
      <c r="E1348" s="19">
        <f>[1]TOBEPAID!E1019/1000</f>
        <v>0</v>
      </c>
      <c r="F1348" s="19">
        <f>[1]TOBEPAID!F1019/1000</f>
        <v>0</v>
      </c>
      <c r="G1348" s="19">
        <f>[1]TOBEPAID!G1019/1000</f>
        <v>0</v>
      </c>
      <c r="H1348" s="19">
        <v>0</v>
      </c>
      <c r="I1348" s="19">
        <f>[1]TOBEPAID!I1019/1000</f>
        <v>0</v>
      </c>
      <c r="J1348" s="19">
        <f>[1]TOBEPAID!J1019/1000</f>
        <v>0</v>
      </c>
      <c r="K1348" s="19">
        <f>[1]TOBEPAID!K1019/1000</f>
        <v>0</v>
      </c>
      <c r="L1348" s="19">
        <f>[1]TOBEPAID!L1019/1000</f>
        <v>0</v>
      </c>
      <c r="M1348" s="19">
        <f>[1]TOBEPAID!M1019/1000</f>
        <v>0</v>
      </c>
      <c r="N1348" s="19">
        <f>[1]TOBEPAID!N1019/1000</f>
        <v>0</v>
      </c>
      <c r="O1348" s="19">
        <f>[1]TOBEPAID!O1019/1000</f>
        <v>8204.23315</v>
      </c>
      <c r="P1348" s="19">
        <f>[1]TOBEPAID!P1019/1000</f>
        <v>0</v>
      </c>
      <c r="Q1348" s="19">
        <f>[1]TOBEPAID!Q1019/1000</f>
        <v>0</v>
      </c>
      <c r="R1348" s="19">
        <f>8204233/1000</f>
        <v>8204.2330000000002</v>
      </c>
      <c r="S1348" s="19">
        <f>[1]TOBEPAID!S1019/1000</f>
        <v>0</v>
      </c>
      <c r="T1348" s="19">
        <f>[1]TOBEPAID!T1019/1000</f>
        <v>0</v>
      </c>
      <c r="U1348" s="19">
        <f>[1]TOBEPAID!U1019/1000</f>
        <v>0</v>
      </c>
      <c r="V1348" s="19">
        <f>[1]TOBEPAID!V1019/1000</f>
        <v>0</v>
      </c>
      <c r="W1348" s="19">
        <f>[1]TOBEPAID!W1019/1000</f>
        <v>0</v>
      </c>
      <c r="X1348" s="19">
        <f>[1]TOBEPAID!X1019/1000</f>
        <v>8204.23315</v>
      </c>
      <c r="Y1348" s="19">
        <f>+H1348+R1348</f>
        <v>8204.2330000000002</v>
      </c>
      <c r="Z1348" s="19">
        <f>+D1348-Y1348</f>
        <v>0</v>
      </c>
      <c r="AA1348" s="19">
        <f>[1]TOBEPAID!AA1019/1000</f>
        <v>8204.23315</v>
      </c>
      <c r="AB1348" s="19">
        <f>[1]TOBEPAID!AB1019/1000</f>
        <v>17206.702929999999</v>
      </c>
      <c r="AC1348" s="19"/>
      <c r="AD1348" s="19"/>
      <c r="AE1348" s="25" t="s">
        <v>87</v>
      </c>
      <c r="AF1348" s="34">
        <f>D1284+D1301+D1313</f>
        <v>698.22400000000005</v>
      </c>
      <c r="AG1348" s="34">
        <f>E1284+E1301+E1313</f>
        <v>0</v>
      </c>
      <c r="AH1348" s="34">
        <f>F1284+F1301+F1313</f>
        <v>0</v>
      </c>
      <c r="AI1348" s="34">
        <f>+AG1348+AH1348</f>
        <v>0</v>
      </c>
      <c r="AJ1348" s="34">
        <f>L1284+L1301+L1313</f>
        <v>0</v>
      </c>
      <c r="AK1348" s="34">
        <f>+AI1348+AJ1348</f>
        <v>0</v>
      </c>
      <c r="AL1348" s="34">
        <f>O1284+O1301+O1313</f>
        <v>698.22444999999993</v>
      </c>
      <c r="AM1348" s="34">
        <f>P1284+P1301+P1313</f>
        <v>0</v>
      </c>
      <c r="AN1348" s="34">
        <f>+AL1348+AM1348</f>
        <v>698.22444999999993</v>
      </c>
      <c r="AO1348" s="34">
        <f>V1284+V1301+V1313</f>
        <v>0</v>
      </c>
      <c r="AP1348" s="34">
        <f>+AN1348+AO1348</f>
        <v>698.22444999999993</v>
      </c>
      <c r="AQ1348" s="34">
        <f>+AI1348+AN1348</f>
        <v>698.22444999999993</v>
      </c>
      <c r="AR1348" s="34">
        <f>+AF1348-AQ1348</f>
        <v>-4.4999999988704076E-4</v>
      </c>
      <c r="AS1348" s="34">
        <f>+AF1349-AK1349-AP1349</f>
        <v>0</v>
      </c>
    </row>
    <row r="1349" spans="1:45" x14ac:dyDescent="0.2">
      <c r="A1349" s="18"/>
      <c r="C1349" s="3" t="s">
        <v>97</v>
      </c>
      <c r="D1349" s="19">
        <f>[1]TOBEPAID!D1020/1000</f>
        <v>16231.23163</v>
      </c>
      <c r="E1349" s="19">
        <f>[1]TOBEPAID!E1020/1000</f>
        <v>0</v>
      </c>
      <c r="F1349" s="19">
        <f>[1]TOBEPAID!F1020/1000</f>
        <v>0</v>
      </c>
      <c r="G1349" s="19">
        <f>[1]TOBEPAID!G1020/1000</f>
        <v>0</v>
      </c>
      <c r="H1349" s="19">
        <v>0</v>
      </c>
      <c r="I1349" s="19">
        <f>[1]TOBEPAID!I1020/1000</f>
        <v>0</v>
      </c>
      <c r="J1349" s="19">
        <f>[1]TOBEPAID!J1020/1000</f>
        <v>0</v>
      </c>
      <c r="K1349" s="19">
        <f>[1]TOBEPAID!K1020/1000</f>
        <v>0</v>
      </c>
      <c r="L1349" s="19">
        <f>[1]TOBEPAID!L1020/1000</f>
        <v>0</v>
      </c>
      <c r="M1349" s="19">
        <f>[1]TOBEPAID!M1020/1000</f>
        <v>0</v>
      </c>
      <c r="N1349" s="19">
        <f>[1]TOBEPAID!N1020/1000</f>
        <v>0</v>
      </c>
      <c r="O1349" s="19">
        <f>[1]TOBEPAID!O1020/1000</f>
        <v>11134.864860000001</v>
      </c>
      <c r="P1349" s="19">
        <f>[1]TOBEPAID!P1020/1000</f>
        <v>0</v>
      </c>
      <c r="Q1349" s="19">
        <f>[1]TOBEPAID!Q1020/1000</f>
        <v>0</v>
      </c>
      <c r="R1349" s="19">
        <f>11134864/1000</f>
        <v>11134.864</v>
      </c>
      <c r="S1349" s="19">
        <f>[1]TOBEPAID!S1020/1000</f>
        <v>0</v>
      </c>
      <c r="T1349" s="19">
        <f>[1]TOBEPAID!T1020/1000</f>
        <v>0</v>
      </c>
      <c r="U1349" s="19">
        <f>[1]TOBEPAID!U1020/1000</f>
        <v>0</v>
      </c>
      <c r="V1349" s="19">
        <f>[1]TOBEPAID!V1020/1000</f>
        <v>0</v>
      </c>
      <c r="W1349" s="19">
        <f>[1]TOBEPAID!W1020/1000</f>
        <v>0</v>
      </c>
      <c r="X1349" s="19">
        <f>[1]TOBEPAID!X1020/1000</f>
        <v>11134.864860000001</v>
      </c>
      <c r="Y1349" s="19">
        <f>+H1349+R1349</f>
        <v>11134.864</v>
      </c>
      <c r="Z1349" s="19">
        <f>+D1349-Y1349</f>
        <v>5096.3676300000006</v>
      </c>
      <c r="AA1349" s="19">
        <f>[1]TOBEPAID!AA1020/1000</f>
        <v>11134.864860000001</v>
      </c>
      <c r="AB1349" s="19">
        <f>[1]TOBEPAID!AB1020/1000</f>
        <v>5096.3667699999996</v>
      </c>
      <c r="AC1349" s="19"/>
      <c r="AD1349" s="19"/>
      <c r="AE1349" s="25" t="s">
        <v>88</v>
      </c>
      <c r="AF1349" s="34">
        <f>+D1300</f>
        <v>0</v>
      </c>
      <c r="AG1349" s="34">
        <f>+E1300</f>
        <v>0</v>
      </c>
      <c r="AH1349" s="34">
        <f>+F1300</f>
        <v>0</v>
      </c>
      <c r="AI1349" s="34">
        <f>+AG1349+AH1349</f>
        <v>0</v>
      </c>
      <c r="AJ1349" s="34">
        <f>+L1300</f>
        <v>0</v>
      </c>
      <c r="AK1349" s="34">
        <f>+AI1349+AJ1349</f>
        <v>0</v>
      </c>
      <c r="AL1349" s="34">
        <f>+O1300</f>
        <v>0</v>
      </c>
      <c r="AM1349" s="34">
        <f>+P1300</f>
        <v>0</v>
      </c>
      <c r="AN1349" s="34">
        <f>+AL1349+AM1349</f>
        <v>0</v>
      </c>
      <c r="AO1349" s="34">
        <f>+V1300</f>
        <v>0</v>
      </c>
      <c r="AP1349" s="34">
        <f>+AN1349+AO1349</f>
        <v>0</v>
      </c>
      <c r="AQ1349" s="34">
        <f>+AI1349+AN1349</f>
        <v>0</v>
      </c>
      <c r="AR1349" s="34">
        <f>+AF1349-AQ1349</f>
        <v>0</v>
      </c>
      <c r="AS1349" s="34">
        <f>+AF1350-AK1350-AP1350</f>
        <v>-4.3000000187021215E-4</v>
      </c>
    </row>
    <row r="1350" spans="1:45" x14ac:dyDescent="0.2">
      <c r="A1350" s="18"/>
      <c r="D1350" s="21" t="s">
        <v>57</v>
      </c>
      <c r="E1350" s="21" t="s">
        <v>57</v>
      </c>
      <c r="F1350" s="21" t="s">
        <v>57</v>
      </c>
      <c r="G1350" s="21"/>
      <c r="H1350" s="21" t="s">
        <v>57</v>
      </c>
      <c r="I1350" s="21" t="s">
        <v>57</v>
      </c>
      <c r="J1350" s="21" t="s">
        <v>57</v>
      </c>
      <c r="K1350" s="21" t="s">
        <v>57</v>
      </c>
      <c r="L1350" s="21" t="s">
        <v>57</v>
      </c>
      <c r="M1350" s="21"/>
      <c r="N1350" s="21" t="s">
        <v>57</v>
      </c>
      <c r="O1350" s="21" t="s">
        <v>57</v>
      </c>
      <c r="P1350" s="21" t="s">
        <v>57</v>
      </c>
      <c r="Q1350" s="21"/>
      <c r="R1350" s="21" t="s">
        <v>57</v>
      </c>
      <c r="S1350" s="21" t="s">
        <v>57</v>
      </c>
      <c r="T1350" s="21" t="s">
        <v>57</v>
      </c>
      <c r="U1350" s="21" t="s">
        <v>57</v>
      </c>
      <c r="V1350" s="21" t="s">
        <v>57</v>
      </c>
      <c r="W1350" s="21"/>
      <c r="X1350" s="21" t="s">
        <v>57</v>
      </c>
      <c r="Y1350" s="21" t="s">
        <v>57</v>
      </c>
      <c r="Z1350" s="21" t="s">
        <v>57</v>
      </c>
      <c r="AA1350" s="21" t="s">
        <v>57</v>
      </c>
      <c r="AB1350" s="21" t="s">
        <v>57</v>
      </c>
      <c r="AC1350" s="21"/>
      <c r="AD1350" s="21"/>
      <c r="AE1350" s="25" t="s">
        <v>55</v>
      </c>
      <c r="AF1350" s="34">
        <f t="shared" ref="AF1350:AH1351" si="251">D1339+D1348</f>
        <v>11797.953</v>
      </c>
      <c r="AG1350" s="34">
        <f t="shared" si="251"/>
        <v>0</v>
      </c>
      <c r="AH1350" s="34">
        <f t="shared" si="251"/>
        <v>0</v>
      </c>
      <c r="AI1350" s="34">
        <f>+AG1350+AH1350</f>
        <v>0</v>
      </c>
      <c r="AJ1350" s="34">
        <f>L1339+L1348</f>
        <v>0</v>
      </c>
      <c r="AK1350" s="34">
        <f>+AI1350+AJ1350</f>
        <v>0</v>
      </c>
      <c r="AL1350" s="34">
        <f>O1339+O1348</f>
        <v>11797.953430000001</v>
      </c>
      <c r="AM1350" s="34">
        <f>P1339+P1348</f>
        <v>0</v>
      </c>
      <c r="AN1350" s="34">
        <f>+AL1350+AM1350</f>
        <v>11797.953430000001</v>
      </c>
      <c r="AO1350" s="34">
        <f>V1339+V1348</f>
        <v>0</v>
      </c>
      <c r="AP1350" s="34">
        <f>+AN1350+AO1350</f>
        <v>11797.953430000001</v>
      </c>
      <c r="AQ1350" s="34">
        <f>+AI1350+AN1350</f>
        <v>11797.953430000001</v>
      </c>
      <c r="AR1350" s="34">
        <f>+AF1350-AQ1350</f>
        <v>-4.3000000187021215E-4</v>
      </c>
      <c r="AS1350" s="34">
        <f>+AF1351-AK1351-AP1351</f>
        <v>5096.3667700000005</v>
      </c>
    </row>
    <row r="1351" spans="1:45" x14ac:dyDescent="0.2">
      <c r="A1351" s="18"/>
      <c r="D1351" s="35">
        <f>SUM(D1345:D1349)</f>
        <v>484078.17498000001</v>
      </c>
      <c r="E1351" s="35">
        <f>SUM(E1345:E1349)</f>
        <v>5000</v>
      </c>
      <c r="F1351" s="35">
        <f>SUM(F1345:F1349)</f>
        <v>0</v>
      </c>
      <c r="G1351" s="35"/>
      <c r="H1351" s="35">
        <f>SUM(H1345:H1349)</f>
        <v>432837.55335</v>
      </c>
      <c r="I1351" s="35">
        <f>SUM(I1345:I1349)</f>
        <v>0</v>
      </c>
      <c r="J1351" s="35">
        <f>SUM(J1345:J1349)</f>
        <v>0</v>
      </c>
      <c r="K1351" s="35">
        <f>SUM(K1345:K1349)</f>
        <v>0</v>
      </c>
      <c r="L1351" s="35">
        <f>SUM(L1345:L1349)</f>
        <v>0</v>
      </c>
      <c r="M1351" s="35"/>
      <c r="N1351" s="35">
        <f>SUM(N1345:N1349)</f>
        <v>5000</v>
      </c>
      <c r="O1351" s="35">
        <f>SUM(O1345:O1349)</f>
        <v>19762.31899</v>
      </c>
      <c r="P1351" s="35">
        <f>SUM(P1345:P1349)</f>
        <v>0</v>
      </c>
      <c r="Q1351" s="35"/>
      <c r="R1351" s="35">
        <f>SUM(R1345:R1349)</f>
        <v>19810.277300000002</v>
      </c>
      <c r="S1351" s="35">
        <f>SUM(S1345:S1349)</f>
        <v>0</v>
      </c>
      <c r="T1351" s="35">
        <f>SUM(T1345:T1349)</f>
        <v>0</v>
      </c>
      <c r="U1351" s="35">
        <f>SUM(U1345:U1349)</f>
        <v>0</v>
      </c>
      <c r="V1351" s="35">
        <f>SUM(V1345:V1349)</f>
        <v>0</v>
      </c>
      <c r="W1351" s="35"/>
      <c r="X1351" s="35">
        <f>SUM(X1345:X1349)</f>
        <v>19762.31899</v>
      </c>
      <c r="Y1351" s="35">
        <f>SUM(Y1345:Y1349)</f>
        <v>452647.83065000002</v>
      </c>
      <c r="Z1351" s="35">
        <f>SUM(Z1345:Z1349)</f>
        <v>31430.344330000007</v>
      </c>
      <c r="AA1351" s="35">
        <f>SUM(AA1345:AA1349)</f>
        <v>24762.31899</v>
      </c>
      <c r="AB1351" s="35">
        <f>SUM(AB1345:AB1349)</f>
        <v>74873.356899999999</v>
      </c>
      <c r="AC1351" s="35"/>
      <c r="AD1351" s="35"/>
      <c r="AE1351" s="25" t="s">
        <v>96</v>
      </c>
      <c r="AF1351" s="34">
        <f t="shared" si="251"/>
        <v>26423.965170000003</v>
      </c>
      <c r="AG1351" s="34">
        <f t="shared" si="251"/>
        <v>0</v>
      </c>
      <c r="AH1351" s="34">
        <f t="shared" si="251"/>
        <v>0</v>
      </c>
      <c r="AI1351" s="34">
        <f>+AG1351+AH1351</f>
        <v>0</v>
      </c>
      <c r="AJ1351" s="34">
        <f>L1340+L1349</f>
        <v>0</v>
      </c>
      <c r="AK1351" s="34">
        <f>+AI1351+AJ1351</f>
        <v>0</v>
      </c>
      <c r="AL1351" s="34">
        <f>O1340+O1349</f>
        <v>21327.598400000003</v>
      </c>
      <c r="AM1351" s="34">
        <f>P1340+P1349</f>
        <v>0</v>
      </c>
      <c r="AN1351" s="34">
        <f>+AL1351+AM1351</f>
        <v>21327.598400000003</v>
      </c>
      <c r="AO1351" s="34">
        <f>V1340+V1349</f>
        <v>0</v>
      </c>
      <c r="AP1351" s="34">
        <f>+AN1351+AO1351</f>
        <v>21327.598400000003</v>
      </c>
      <c r="AQ1351" s="34">
        <f>+AI1351+AN1351</f>
        <v>21327.598400000003</v>
      </c>
      <c r="AR1351" s="34">
        <f>+AF1351-AQ1351</f>
        <v>5096.3667700000005</v>
      </c>
      <c r="AS1351" s="34">
        <f>SUM(AS1334:AS1350)</f>
        <v>1673495.7132000001</v>
      </c>
    </row>
    <row r="1352" spans="1:45" x14ac:dyDescent="0.2">
      <c r="A1352" s="18"/>
      <c r="D1352" s="21" t="s">
        <v>57</v>
      </c>
      <c r="E1352" s="21" t="s">
        <v>57</v>
      </c>
      <c r="F1352" s="21" t="s">
        <v>57</v>
      </c>
      <c r="G1352" s="21"/>
      <c r="H1352" s="21" t="s">
        <v>57</v>
      </c>
      <c r="I1352" s="21" t="s">
        <v>57</v>
      </c>
      <c r="J1352" s="21" t="s">
        <v>57</v>
      </c>
      <c r="K1352" s="21" t="s">
        <v>57</v>
      </c>
      <c r="L1352" s="21" t="s">
        <v>57</v>
      </c>
      <c r="M1352" s="21"/>
      <c r="N1352" s="21" t="s">
        <v>57</v>
      </c>
      <c r="O1352" s="21" t="s">
        <v>57</v>
      </c>
      <c r="P1352" s="21" t="s">
        <v>57</v>
      </c>
      <c r="Q1352" s="21"/>
      <c r="R1352" s="21" t="s">
        <v>57</v>
      </c>
      <c r="S1352" s="21" t="s">
        <v>57</v>
      </c>
      <c r="T1352" s="21" t="s">
        <v>57</v>
      </c>
      <c r="U1352" s="21" t="s">
        <v>57</v>
      </c>
      <c r="V1352" s="21" t="s">
        <v>57</v>
      </c>
      <c r="W1352" s="21"/>
      <c r="X1352" s="21" t="s">
        <v>57</v>
      </c>
      <c r="Y1352" s="21" t="s">
        <v>57</v>
      </c>
      <c r="Z1352" s="21" t="s">
        <v>57</v>
      </c>
      <c r="AA1352" s="21" t="s">
        <v>57</v>
      </c>
      <c r="AB1352" s="21" t="s">
        <v>57</v>
      </c>
      <c r="AC1352" s="21"/>
      <c r="AD1352" s="21"/>
      <c r="AE1352" s="25" t="s">
        <v>97</v>
      </c>
      <c r="AF1352" s="34">
        <f t="shared" ref="AF1352:AR1352" si="252">SUM(AF1339:AF1351)</f>
        <v>1819478.4661499998</v>
      </c>
      <c r="AG1352" s="34">
        <f t="shared" si="252"/>
        <v>102099.61305</v>
      </c>
      <c r="AH1352" s="34">
        <f t="shared" si="252"/>
        <v>7994.64336</v>
      </c>
      <c r="AI1352" s="34">
        <f t="shared" si="252"/>
        <v>110094.25641</v>
      </c>
      <c r="AJ1352" s="34">
        <f t="shared" si="252"/>
        <v>0</v>
      </c>
      <c r="AK1352" s="34">
        <f t="shared" si="252"/>
        <v>110094.25641</v>
      </c>
      <c r="AL1352" s="34">
        <f t="shared" si="252"/>
        <v>35888.496540000007</v>
      </c>
      <c r="AM1352" s="34">
        <f t="shared" si="252"/>
        <v>0</v>
      </c>
      <c r="AN1352" s="34">
        <f t="shared" si="252"/>
        <v>35888.496540000007</v>
      </c>
      <c r="AO1352" s="34">
        <f t="shared" si="252"/>
        <v>0</v>
      </c>
      <c r="AP1352" s="34">
        <f t="shared" si="252"/>
        <v>35888.496540000007</v>
      </c>
      <c r="AQ1352" s="34">
        <f t="shared" si="252"/>
        <v>145982.75294999999</v>
      </c>
      <c r="AR1352" s="34">
        <f t="shared" si="252"/>
        <v>1673495.7132000001</v>
      </c>
      <c r="AS1352" s="34"/>
    </row>
    <row r="1353" spans="1:45" x14ac:dyDescent="0.2">
      <c r="A1353" s="18"/>
      <c r="B1353" s="41" t="s">
        <v>121</v>
      </c>
      <c r="C1353" s="41" t="s">
        <v>356</v>
      </c>
      <c r="D1353" s="35">
        <f>D1286+D1303+D1315+D1323+D1327+D1342+D1351</f>
        <v>2408248.8455000003</v>
      </c>
      <c r="E1353" s="35">
        <f>E1286+E1303+E1315+E1323+E1327+E1342+E1351</f>
        <v>102099.61305</v>
      </c>
      <c r="F1353" s="35">
        <f>F1286+F1303+F1315+F1323+F1327+F1342+F1351</f>
        <v>7994.64336</v>
      </c>
      <c r="G1353" s="35"/>
      <c r="H1353" s="35">
        <f>H1286+H1303+H1315+H1323+H1327+H1342+H1351</f>
        <v>2236152.9192500003</v>
      </c>
      <c r="I1353" s="35">
        <f>I1286+I1303+I1315+I1323+I1327+I1342+I1351</f>
        <v>0</v>
      </c>
      <c r="J1353" s="35">
        <f>J1286+J1303+J1315+J1323+J1327+J1342+J1351</f>
        <v>0</v>
      </c>
      <c r="K1353" s="35">
        <f>K1286+K1303+K1315+K1323+K1327+K1342+K1351</f>
        <v>0</v>
      </c>
      <c r="L1353" s="35">
        <f>L1286+L1303+L1315+L1323+L1327+L1342+L1351</f>
        <v>0</v>
      </c>
      <c r="M1353" s="35"/>
      <c r="N1353" s="35">
        <f>N1286+N1303+N1315+N1323+N1327+N1342+N1351</f>
        <v>110094.25641</v>
      </c>
      <c r="O1353" s="35">
        <f>O1286+O1303+O1315+O1323+O1327+O1342+O1351</f>
        <v>35888.49654</v>
      </c>
      <c r="P1353" s="35">
        <f>P1286+P1303+P1315+P1323+P1327+P1342+P1351</f>
        <v>0</v>
      </c>
      <c r="Q1353" s="35"/>
      <c r="R1353" s="35">
        <f>R1286+R1303+R1315+R1323+R1327+R1342+R1351</f>
        <v>36117.452530000002</v>
      </c>
      <c r="S1353" s="35">
        <f>S1286+S1303+S1315+S1323+S1327+S1342+S1351</f>
        <v>0</v>
      </c>
      <c r="T1353" s="35">
        <f>T1286+T1303+T1315+T1323+T1327+T1342+T1351</f>
        <v>0</v>
      </c>
      <c r="U1353" s="35">
        <f>U1286+U1303+U1315+U1323+U1327+U1342+U1351</f>
        <v>0</v>
      </c>
      <c r="V1353" s="35">
        <f>V1286+V1303+V1315+V1323+V1327+V1342+V1351</f>
        <v>0</v>
      </c>
      <c r="W1353" s="35"/>
      <c r="X1353" s="35">
        <f>X1286+X1303+X1315+X1323+X1327+X1342+X1351</f>
        <v>35888.49654</v>
      </c>
      <c r="Y1353" s="35">
        <f>Y1286+Y1303+Y1315+Y1323+Y1327+Y1342+Y1351</f>
        <v>2272270.3717799997</v>
      </c>
      <c r="Z1353" s="35">
        <f>Z1286+Z1303+Z1315+Z1323+Z1327+Z1342+Z1351</f>
        <v>135978.47372000001</v>
      </c>
      <c r="AA1353" s="35">
        <f>AA1286+AA1303+AA1315+AA1323+AA1327+AA1342+AA1351</f>
        <v>145982.75294999999</v>
      </c>
      <c r="AB1353" s="35">
        <f>AB1286+AB1303+AB1315+AB1323+AB1327+AB1342+AB1351</f>
        <v>258770.91336000001</v>
      </c>
      <c r="AC1353" s="35"/>
      <c r="AD1353" s="35"/>
      <c r="AF1353" s="34"/>
      <c r="AG1353" s="34"/>
      <c r="AH1353" s="34"/>
      <c r="AI1353" s="34"/>
      <c r="AJ1353" s="34"/>
      <c r="AK1353" s="34"/>
      <c r="AL1353" s="34"/>
      <c r="AM1353" s="34"/>
      <c r="AN1353" s="34"/>
      <c r="AO1353" s="34"/>
      <c r="AP1353" s="34"/>
      <c r="AQ1353" s="34"/>
      <c r="AR1353" s="34"/>
      <c r="AS1353" s="34"/>
    </row>
    <row r="1354" spans="1:45" x14ac:dyDescent="0.2">
      <c r="A1354" s="18"/>
      <c r="D1354" s="21" t="s">
        <v>93</v>
      </c>
      <c r="E1354" s="21" t="s">
        <v>93</v>
      </c>
      <c r="F1354" s="21" t="s">
        <v>93</v>
      </c>
      <c r="G1354" s="21"/>
      <c r="H1354" s="21" t="s">
        <v>93</v>
      </c>
      <c r="I1354" s="21" t="s">
        <v>93</v>
      </c>
      <c r="J1354" s="21" t="s">
        <v>93</v>
      </c>
      <c r="K1354" s="21" t="s">
        <v>93</v>
      </c>
      <c r="L1354" s="21" t="s">
        <v>93</v>
      </c>
      <c r="M1354" s="21"/>
      <c r="N1354" s="21" t="s">
        <v>93</v>
      </c>
      <c r="O1354" s="21" t="s">
        <v>93</v>
      </c>
      <c r="P1354" s="21" t="s">
        <v>93</v>
      </c>
      <c r="Q1354" s="21"/>
      <c r="R1354" s="21" t="s">
        <v>93</v>
      </c>
      <c r="S1354" s="21" t="s">
        <v>93</v>
      </c>
      <c r="T1354" s="21" t="s">
        <v>93</v>
      </c>
      <c r="U1354" s="21" t="s">
        <v>93</v>
      </c>
      <c r="V1354" s="21" t="s">
        <v>93</v>
      </c>
      <c r="W1354" s="21"/>
      <c r="X1354" s="21" t="s">
        <v>93</v>
      </c>
      <c r="Y1354" s="21" t="s">
        <v>93</v>
      </c>
      <c r="Z1354" s="21" t="s">
        <v>93</v>
      </c>
      <c r="AA1354" s="21" t="s">
        <v>93</v>
      </c>
      <c r="AB1354" s="21" t="s">
        <v>93</v>
      </c>
      <c r="AC1354" s="21"/>
      <c r="AD1354" s="21"/>
      <c r="AF1354" s="34"/>
      <c r="AG1354" s="34"/>
      <c r="AH1354" s="34"/>
      <c r="AI1354" s="34"/>
      <c r="AJ1354" s="34"/>
      <c r="AK1354" s="34"/>
      <c r="AL1354" s="34"/>
      <c r="AM1354" s="34"/>
      <c r="AN1354" s="34"/>
      <c r="AO1354" s="34"/>
      <c r="AP1354" s="34"/>
      <c r="AQ1354" s="34"/>
      <c r="AR1354" s="34"/>
      <c r="AS1354" s="34"/>
    </row>
    <row r="1355" spans="1:45" x14ac:dyDescent="0.2">
      <c r="A1355" s="18"/>
      <c r="C1355" s="25"/>
      <c r="D1355" s="30"/>
      <c r="E1355" s="30"/>
      <c r="F1355" s="30"/>
      <c r="G1355" s="30"/>
      <c r="H1355" s="30"/>
      <c r="I1355" s="30"/>
      <c r="J1355" s="30"/>
      <c r="K1355" s="30"/>
      <c r="L1355" s="30"/>
      <c r="M1355" s="30"/>
      <c r="N1355" s="30"/>
      <c r="O1355" s="74"/>
      <c r="P1355" s="38"/>
      <c r="Q1355" s="38"/>
      <c r="R1355" s="30"/>
      <c r="S1355" s="30"/>
      <c r="T1355" s="30"/>
      <c r="U1355" s="30"/>
      <c r="V1355" s="30"/>
      <c r="W1355" s="30"/>
      <c r="X1355" s="30"/>
      <c r="Y1355" s="30"/>
      <c r="Z1355" s="30"/>
      <c r="AA1355" s="30"/>
      <c r="AB1355" s="30"/>
      <c r="AC1355" s="30"/>
      <c r="AD1355" s="30"/>
      <c r="AF1355" s="34"/>
      <c r="AG1355" s="34"/>
      <c r="AH1355" s="34"/>
      <c r="AI1355" s="34"/>
      <c r="AJ1355" s="34"/>
      <c r="AK1355" s="34"/>
      <c r="AL1355" s="34"/>
      <c r="AM1355" s="34"/>
      <c r="AN1355" s="34"/>
      <c r="AO1355" s="34"/>
      <c r="AP1355" s="34"/>
      <c r="AQ1355" s="34"/>
      <c r="AR1355" s="34"/>
      <c r="AS1355" s="34"/>
    </row>
    <row r="1356" spans="1:45" x14ac:dyDescent="0.2">
      <c r="A1356" s="18"/>
      <c r="C1356" s="25"/>
      <c r="D1356" s="30"/>
      <c r="E1356" s="30"/>
      <c r="F1356" s="30"/>
      <c r="G1356" s="30"/>
      <c r="H1356" s="30"/>
      <c r="I1356" s="30"/>
      <c r="J1356" s="30"/>
      <c r="K1356" s="30"/>
      <c r="L1356" s="30"/>
      <c r="M1356" s="30"/>
      <c r="N1356" s="30"/>
      <c r="O1356" s="30"/>
      <c r="P1356" s="30"/>
      <c r="Q1356" s="30"/>
      <c r="R1356" s="30"/>
      <c r="S1356" s="30"/>
      <c r="T1356" s="30"/>
      <c r="U1356" s="30"/>
      <c r="V1356" s="30"/>
      <c r="W1356" s="30"/>
      <c r="X1356" s="30"/>
      <c r="Y1356" s="30"/>
      <c r="Z1356" s="30"/>
      <c r="AA1356" s="30"/>
      <c r="AB1356" s="30"/>
      <c r="AC1356" s="30"/>
      <c r="AD1356" s="30"/>
      <c r="AF1356" s="34"/>
      <c r="AG1356" s="34"/>
      <c r="AH1356" s="34"/>
      <c r="AI1356" s="34"/>
      <c r="AJ1356" s="34"/>
      <c r="AK1356" s="34"/>
      <c r="AL1356" s="34"/>
      <c r="AM1356" s="34"/>
      <c r="AN1356" s="34"/>
      <c r="AO1356" s="34"/>
      <c r="AP1356" s="34"/>
      <c r="AQ1356" s="34"/>
      <c r="AR1356" s="34"/>
      <c r="AS1356" s="34"/>
    </row>
    <row r="1357" spans="1:45" x14ac:dyDescent="0.2">
      <c r="A1357" s="18"/>
      <c r="C1357" s="25"/>
      <c r="D1357" s="30"/>
      <c r="E1357" s="30"/>
      <c r="F1357" s="30"/>
      <c r="G1357" s="30"/>
      <c r="H1357" s="30"/>
      <c r="I1357" s="30"/>
      <c r="J1357" s="30"/>
      <c r="K1357" s="30"/>
      <c r="L1357" s="30"/>
      <c r="M1357" s="30"/>
      <c r="N1357" s="30"/>
      <c r="O1357" s="30"/>
      <c r="P1357" s="30"/>
      <c r="Q1357" s="30"/>
      <c r="R1357" s="30"/>
      <c r="S1357" s="30"/>
      <c r="T1357" s="30"/>
      <c r="U1357" s="30"/>
      <c r="V1357" s="30"/>
      <c r="W1357" s="30"/>
      <c r="X1357" s="30"/>
      <c r="Y1357" s="30"/>
      <c r="Z1357" s="30"/>
      <c r="AA1357" s="30"/>
      <c r="AB1357" s="30"/>
      <c r="AC1357" s="30"/>
      <c r="AD1357" s="30"/>
      <c r="AF1357" s="34"/>
      <c r="AG1357" s="34"/>
      <c r="AH1357" s="34"/>
      <c r="AI1357" s="34"/>
      <c r="AJ1357" s="34"/>
      <c r="AK1357" s="34"/>
      <c r="AL1357" s="34"/>
      <c r="AM1357" s="34"/>
      <c r="AN1357" s="34"/>
      <c r="AO1357" s="34"/>
      <c r="AP1357" s="34"/>
      <c r="AQ1357" s="34"/>
      <c r="AR1357" s="34"/>
      <c r="AS1357" s="34"/>
    </row>
    <row r="1358" spans="1:45" x14ac:dyDescent="0.2">
      <c r="A1358" s="18"/>
      <c r="B1358" s="17" t="s">
        <v>371</v>
      </c>
      <c r="D1358" s="30"/>
      <c r="E1358" s="30"/>
      <c r="F1358" s="30"/>
      <c r="G1358" s="30"/>
      <c r="H1358" s="30"/>
      <c r="I1358" s="30"/>
      <c r="J1358" s="30"/>
      <c r="K1358" s="30"/>
      <c r="L1358" s="30"/>
      <c r="M1358" s="30"/>
      <c r="N1358" s="30"/>
      <c r="O1358" s="30"/>
      <c r="P1358" s="30"/>
      <c r="Q1358" s="30"/>
      <c r="R1358" s="30"/>
      <c r="S1358" s="30"/>
      <c r="T1358" s="30"/>
      <c r="U1358" s="30"/>
      <c r="V1358" s="30"/>
      <c r="W1358" s="30"/>
      <c r="X1358" s="30"/>
      <c r="Y1358" s="30"/>
      <c r="Z1358" s="30"/>
      <c r="AA1358" s="30"/>
      <c r="AB1358" s="30"/>
      <c r="AC1358" s="30"/>
      <c r="AD1358" s="30"/>
      <c r="AF1358" s="34"/>
      <c r="AG1358" s="34"/>
      <c r="AH1358" s="34"/>
      <c r="AI1358" s="34"/>
      <c r="AJ1358" s="34"/>
      <c r="AK1358" s="34"/>
      <c r="AL1358" s="34"/>
      <c r="AM1358" s="34"/>
      <c r="AN1358" s="34"/>
      <c r="AO1358" s="34"/>
      <c r="AP1358" s="34"/>
      <c r="AQ1358" s="34"/>
      <c r="AR1358" s="34"/>
      <c r="AS1358" s="34"/>
    </row>
    <row r="1359" spans="1:45" x14ac:dyDescent="0.2">
      <c r="A1359" s="18"/>
      <c r="D1359" s="30"/>
      <c r="E1359" s="30"/>
      <c r="F1359" s="30"/>
      <c r="G1359" s="30"/>
      <c r="H1359" s="30"/>
      <c r="I1359" s="30"/>
      <c r="J1359" s="30"/>
      <c r="K1359" s="30"/>
      <c r="L1359" s="30"/>
      <c r="M1359" s="30"/>
      <c r="N1359" s="30"/>
      <c r="O1359" s="30"/>
      <c r="P1359" s="30"/>
      <c r="Q1359" s="30"/>
      <c r="R1359" s="30"/>
      <c r="S1359" s="30"/>
      <c r="T1359" s="30"/>
      <c r="U1359" s="30"/>
      <c r="V1359" s="30"/>
      <c r="W1359" s="30"/>
      <c r="X1359" s="30"/>
      <c r="Y1359" s="30"/>
      <c r="Z1359" s="30"/>
      <c r="AA1359" s="30"/>
      <c r="AB1359" s="30"/>
      <c r="AC1359" s="30"/>
      <c r="AD1359" s="30"/>
      <c r="AF1359" s="34"/>
      <c r="AG1359" s="34"/>
      <c r="AH1359" s="34"/>
      <c r="AI1359" s="34"/>
      <c r="AJ1359" s="34"/>
      <c r="AK1359" s="34"/>
      <c r="AL1359" s="34"/>
      <c r="AM1359" s="34"/>
      <c r="AN1359" s="34"/>
      <c r="AO1359" s="34"/>
      <c r="AP1359" s="34"/>
      <c r="AQ1359" s="34"/>
      <c r="AR1359" s="34"/>
      <c r="AS1359" s="34"/>
    </row>
    <row r="1360" spans="1:45" x14ac:dyDescent="0.2">
      <c r="A1360" s="18">
        <v>107</v>
      </c>
      <c r="B1360" s="17" t="s">
        <v>372</v>
      </c>
      <c r="C1360" s="17" t="s">
        <v>51</v>
      </c>
      <c r="D1360" s="19">
        <f>50397361/1000</f>
        <v>50397.360999999997</v>
      </c>
      <c r="E1360" s="19">
        <f>[1]TOBEPAID!E1031/1000</f>
        <v>0</v>
      </c>
      <c r="F1360" s="19">
        <f>[1]TOBEPAID!F1031/1000</f>
        <v>0</v>
      </c>
      <c r="G1360" s="19">
        <f>[1]TOBEPAID!G1031/1000</f>
        <v>0</v>
      </c>
      <c r="H1360" s="19">
        <v>0</v>
      </c>
      <c r="I1360" s="19">
        <f>[1]TOBEPAID!I1031/1000</f>
        <v>0</v>
      </c>
      <c r="J1360" s="19">
        <f>[1]TOBEPAID!J1031/1000</f>
        <v>0</v>
      </c>
      <c r="K1360" s="19">
        <f>[1]TOBEPAID!K1031/1000</f>
        <v>0</v>
      </c>
      <c r="L1360" s="19">
        <f>[1]TOBEPAID!L1031/1000</f>
        <v>0</v>
      </c>
      <c r="M1360" s="19">
        <f>[1]TOBEPAID!M1031/1000</f>
        <v>0</v>
      </c>
      <c r="N1360" s="19">
        <f>[1]TOBEPAID!N1031/1000</f>
        <v>0</v>
      </c>
      <c r="O1360" s="19">
        <f>[1]TOBEPAID!O1031/1000</f>
        <v>0</v>
      </c>
      <c r="P1360" s="19">
        <f>[1]TOBEPAID!P1031/1000</f>
        <v>0</v>
      </c>
      <c r="Q1360" s="19">
        <f>[1]TOBEPAID!Q1031/1000</f>
        <v>0</v>
      </c>
      <c r="R1360" s="19">
        <v>0</v>
      </c>
      <c r="S1360" s="19">
        <f>[1]TOBEPAID!S1031/1000</f>
        <v>0</v>
      </c>
      <c r="T1360" s="19">
        <f>[1]TOBEPAID!T1031/1000</f>
        <v>0</v>
      </c>
      <c r="U1360" s="19">
        <f>[1]TOBEPAID!U1031/1000</f>
        <v>0</v>
      </c>
      <c r="V1360" s="19">
        <f>[1]TOBEPAID!V1031/1000</f>
        <v>0</v>
      </c>
      <c r="W1360" s="19">
        <f>[1]TOBEPAID!W1031/1000</f>
        <v>0</v>
      </c>
      <c r="X1360" s="19">
        <f>[1]TOBEPAID!X1031/1000</f>
        <v>0</v>
      </c>
      <c r="Y1360" s="19">
        <f>+H1360+R1360</f>
        <v>0</v>
      </c>
      <c r="Z1360" s="19">
        <f t="shared" ref="Z1360:Z1365" si="253">+D1360-Y1360</f>
        <v>50397.360999999997</v>
      </c>
      <c r="AA1360" s="19">
        <f>[1]TOBEPAID!AA1031/1000</f>
        <v>0</v>
      </c>
      <c r="AB1360" s="19">
        <f>[1]TOBEPAID!AB1031/1000</f>
        <v>50397.361530000002</v>
      </c>
      <c r="AC1360" s="19"/>
      <c r="AD1360" s="19"/>
      <c r="AF1360" s="34"/>
      <c r="AG1360" s="34"/>
      <c r="AH1360" s="34"/>
      <c r="AI1360" s="34"/>
      <c r="AJ1360" s="34"/>
      <c r="AK1360" s="34"/>
      <c r="AL1360" s="34"/>
      <c r="AM1360" s="34"/>
      <c r="AN1360" s="34"/>
      <c r="AO1360" s="34"/>
      <c r="AP1360" s="34"/>
      <c r="AQ1360" s="34"/>
      <c r="AR1360" s="34"/>
      <c r="AS1360" s="34"/>
    </row>
    <row r="1361" spans="1:45" x14ac:dyDescent="0.2">
      <c r="A1361" s="18"/>
      <c r="C1361" s="20" t="s">
        <v>52</v>
      </c>
      <c r="D1361" s="19">
        <f>2322818/1000</f>
        <v>2322.8180000000002</v>
      </c>
      <c r="E1361" s="19">
        <f>[1]TOBEPAID!E1032/1000</f>
        <v>2322.8182499999998</v>
      </c>
      <c r="F1361" s="19">
        <f>[1]TOBEPAID!F1032/1000</f>
        <v>0</v>
      </c>
      <c r="G1361" s="19">
        <f>[1]TOBEPAID!G1032/1000</f>
        <v>0</v>
      </c>
      <c r="H1361" s="19">
        <f>2322818/1000</f>
        <v>2322.8180000000002</v>
      </c>
      <c r="I1361" s="19">
        <f>[1]TOBEPAID!I1032/1000</f>
        <v>0</v>
      </c>
      <c r="J1361" s="19">
        <f>[1]TOBEPAID!J1032/1000</f>
        <v>0</v>
      </c>
      <c r="K1361" s="19">
        <f>[1]TOBEPAID!K1032/1000</f>
        <v>0</v>
      </c>
      <c r="L1361" s="19">
        <f>[1]TOBEPAID!L1032/1000</f>
        <v>0</v>
      </c>
      <c r="M1361" s="19">
        <f>[1]TOBEPAID!M1032/1000</f>
        <v>0</v>
      </c>
      <c r="N1361" s="19">
        <f>[1]TOBEPAID!N1032/1000</f>
        <v>2322.8182499999998</v>
      </c>
      <c r="O1361" s="19">
        <f>[1]TOBEPAID!O1032/1000</f>
        <v>0</v>
      </c>
      <c r="P1361" s="19">
        <f>[1]TOBEPAID!P1032/1000</f>
        <v>0</v>
      </c>
      <c r="Q1361" s="19">
        <f>[1]TOBEPAID!Q1032/1000</f>
        <v>0</v>
      </c>
      <c r="R1361" s="19">
        <v>0</v>
      </c>
      <c r="S1361" s="19">
        <f>[1]TOBEPAID!S1032/1000</f>
        <v>0</v>
      </c>
      <c r="T1361" s="19">
        <f>[1]TOBEPAID!T1032/1000</f>
        <v>0</v>
      </c>
      <c r="U1361" s="19">
        <f>[1]TOBEPAID!U1032/1000</f>
        <v>0</v>
      </c>
      <c r="V1361" s="19">
        <f>[1]TOBEPAID!V1032/1000</f>
        <v>0</v>
      </c>
      <c r="W1361" s="19">
        <f>[1]TOBEPAID!W1032/1000</f>
        <v>0</v>
      </c>
      <c r="X1361" s="19">
        <f>[1]TOBEPAID!X1032/1000</f>
        <v>0</v>
      </c>
      <c r="Y1361" s="19">
        <f>+H1361+R1361</f>
        <v>2322.8180000000002</v>
      </c>
      <c r="Z1361" s="19">
        <f t="shared" si="253"/>
        <v>0</v>
      </c>
      <c r="AA1361" s="19">
        <f>[1]TOBEPAID!AA1032/1000</f>
        <v>2322.8182499999998</v>
      </c>
      <c r="AB1361" s="19">
        <f>[1]TOBEPAID!AB1032/1000</f>
        <v>0</v>
      </c>
      <c r="AC1361" s="19"/>
      <c r="AD1361" s="19"/>
      <c r="AF1361" s="34"/>
      <c r="AG1361" s="34"/>
      <c r="AH1361" s="34"/>
      <c r="AI1361" s="34"/>
      <c r="AJ1361" s="34"/>
      <c r="AK1361" s="34"/>
      <c r="AL1361" s="34"/>
      <c r="AM1361" s="34"/>
      <c r="AN1361" s="34"/>
      <c r="AO1361" s="34"/>
      <c r="AP1361" s="34"/>
      <c r="AQ1361" s="34"/>
      <c r="AR1361" s="34"/>
      <c r="AS1361" s="34"/>
    </row>
    <row r="1362" spans="1:45" x14ac:dyDescent="0.2">
      <c r="A1362" s="18"/>
      <c r="C1362" s="20" t="s">
        <v>137</v>
      </c>
      <c r="D1362" s="19">
        <f>10365000/1000</f>
        <v>10365</v>
      </c>
      <c r="E1362" s="19"/>
      <c r="F1362" s="19"/>
      <c r="G1362" s="19"/>
      <c r="H1362" s="19">
        <f>10365000/1000</f>
        <v>10365</v>
      </c>
      <c r="I1362" s="19"/>
      <c r="J1362" s="19"/>
      <c r="K1362" s="19"/>
      <c r="L1362" s="19"/>
      <c r="M1362" s="19"/>
      <c r="N1362" s="19"/>
      <c r="O1362" s="19"/>
      <c r="P1362" s="19"/>
      <c r="Q1362" s="19"/>
      <c r="R1362" s="19">
        <v>0</v>
      </c>
      <c r="S1362" s="19"/>
      <c r="T1362" s="19"/>
      <c r="U1362" s="19"/>
      <c r="V1362" s="19"/>
      <c r="W1362" s="19"/>
      <c r="X1362" s="19"/>
      <c r="Y1362" s="19">
        <f>+H1362+R1362</f>
        <v>10365</v>
      </c>
      <c r="Z1362" s="19">
        <f t="shared" si="253"/>
        <v>0</v>
      </c>
      <c r="AA1362" s="19"/>
      <c r="AB1362" s="19"/>
      <c r="AC1362" s="19"/>
      <c r="AD1362" s="19"/>
      <c r="AF1362" s="34"/>
      <c r="AG1362" s="34"/>
      <c r="AH1362" s="34"/>
      <c r="AI1362" s="34"/>
      <c r="AJ1362" s="34"/>
      <c r="AK1362" s="34"/>
      <c r="AL1362" s="34"/>
      <c r="AM1362" s="34"/>
      <c r="AN1362" s="34"/>
      <c r="AO1362" s="34"/>
      <c r="AP1362" s="34"/>
      <c r="AQ1362" s="34"/>
      <c r="AR1362" s="34"/>
      <c r="AS1362" s="34"/>
    </row>
    <row r="1363" spans="1:45" x14ac:dyDescent="0.2">
      <c r="A1363" s="18"/>
      <c r="C1363" s="20" t="s">
        <v>373</v>
      </c>
      <c r="D1363" s="19">
        <f>3000000/1000</f>
        <v>3000</v>
      </c>
      <c r="E1363" s="19"/>
      <c r="F1363" s="19"/>
      <c r="G1363" s="19"/>
      <c r="H1363" s="19">
        <f>3000000/1000</f>
        <v>3000</v>
      </c>
      <c r="I1363" s="19"/>
      <c r="J1363" s="19"/>
      <c r="K1363" s="19"/>
      <c r="L1363" s="19"/>
      <c r="M1363" s="19"/>
      <c r="N1363" s="19"/>
      <c r="O1363" s="19"/>
      <c r="P1363" s="19"/>
      <c r="Q1363" s="19"/>
      <c r="R1363" s="19">
        <v>0</v>
      </c>
      <c r="S1363" s="19"/>
      <c r="T1363" s="19"/>
      <c r="U1363" s="19"/>
      <c r="V1363" s="19"/>
      <c r="W1363" s="19"/>
      <c r="X1363" s="19"/>
      <c r="Y1363" s="19">
        <f>+H1363-R1363</f>
        <v>3000</v>
      </c>
      <c r="Z1363" s="19">
        <f t="shared" si="253"/>
        <v>0</v>
      </c>
      <c r="AA1363" s="19"/>
      <c r="AB1363" s="19"/>
      <c r="AC1363" s="19"/>
      <c r="AD1363" s="19"/>
      <c r="AF1363" s="34"/>
      <c r="AG1363" s="34"/>
      <c r="AH1363" s="34"/>
      <c r="AI1363" s="34"/>
      <c r="AJ1363" s="34"/>
      <c r="AK1363" s="34"/>
      <c r="AL1363" s="34"/>
      <c r="AM1363" s="34"/>
      <c r="AN1363" s="34"/>
      <c r="AO1363" s="34"/>
      <c r="AP1363" s="34"/>
      <c r="AQ1363" s="34"/>
      <c r="AR1363" s="34"/>
      <c r="AS1363" s="34"/>
    </row>
    <row r="1364" spans="1:45" x14ac:dyDescent="0.2">
      <c r="A1364" s="18"/>
      <c r="C1364" s="20" t="s">
        <v>374</v>
      </c>
      <c r="D1364" s="19">
        <f>2000000/1000</f>
        <v>2000</v>
      </c>
      <c r="E1364" s="19">
        <f>[1]TOBEPAID!E1033/1000</f>
        <v>0</v>
      </c>
      <c r="F1364" s="19">
        <f>[1]TOBEPAID!F1033/1000</f>
        <v>0</v>
      </c>
      <c r="G1364" s="19">
        <f>[1]TOBEPAID!G1033/1000</f>
        <v>0</v>
      </c>
      <c r="H1364" s="19">
        <v>0</v>
      </c>
      <c r="I1364" s="19">
        <f>[1]TOBEPAID!I1033/1000</f>
        <v>0</v>
      </c>
      <c r="J1364" s="19">
        <f>[1]TOBEPAID!J1033/1000</f>
        <v>0</v>
      </c>
      <c r="K1364" s="19">
        <f>[1]TOBEPAID!K1033/1000</f>
        <v>0</v>
      </c>
      <c r="L1364" s="19">
        <f>[1]TOBEPAID!L1033/1000</f>
        <v>0</v>
      </c>
      <c r="M1364" s="19">
        <f>[1]TOBEPAID!M1033/1000</f>
        <v>0</v>
      </c>
      <c r="N1364" s="19">
        <f>[1]TOBEPAID!N1033/1000</f>
        <v>0</v>
      </c>
      <c r="O1364" s="19">
        <f>[1]TOBEPAID!O1033/1000</f>
        <v>2000</v>
      </c>
      <c r="P1364" s="19">
        <f>[1]TOBEPAID!P1033/1000</f>
        <v>0</v>
      </c>
      <c r="Q1364" s="19">
        <f>[1]TOBEPAID!Q1033/1000</f>
        <v>0</v>
      </c>
      <c r="R1364" s="19">
        <f>2000000/1000</f>
        <v>2000</v>
      </c>
      <c r="S1364" s="19">
        <f>[1]TOBEPAID!S1033/1000</f>
        <v>0</v>
      </c>
      <c r="T1364" s="19">
        <f>[1]TOBEPAID!T1033/1000</f>
        <v>0</v>
      </c>
      <c r="U1364" s="19">
        <f>[1]TOBEPAID!U1033/1000</f>
        <v>0</v>
      </c>
      <c r="V1364" s="19">
        <f>[1]TOBEPAID!V1033/1000</f>
        <v>0</v>
      </c>
      <c r="W1364" s="19">
        <f>[1]TOBEPAID!W1033/1000</f>
        <v>0</v>
      </c>
      <c r="X1364" s="19">
        <f>[1]TOBEPAID!X1033/1000</f>
        <v>2000</v>
      </c>
      <c r="Y1364" s="19">
        <f>+H1364+R1364</f>
        <v>2000</v>
      </c>
      <c r="Z1364" s="19">
        <f t="shared" si="253"/>
        <v>0</v>
      </c>
      <c r="AA1364" s="19">
        <f>[1]TOBEPAID!AA1033/1000</f>
        <v>2000</v>
      </c>
      <c r="AB1364" s="19">
        <f>[1]TOBEPAID!AB1033/1000</f>
        <v>0</v>
      </c>
      <c r="AC1364" s="19"/>
      <c r="AD1364" s="19"/>
      <c r="AE1364" s="7"/>
      <c r="AF1364" s="34"/>
      <c r="AG1364" s="34"/>
      <c r="AH1364" s="34"/>
      <c r="AI1364" s="34"/>
      <c r="AJ1364" s="34"/>
      <c r="AK1364" s="34"/>
      <c r="AL1364" s="34"/>
      <c r="AM1364" s="34"/>
      <c r="AN1364" s="34"/>
      <c r="AO1364" s="34"/>
      <c r="AP1364" s="34"/>
      <c r="AQ1364" s="34"/>
      <c r="AR1364" s="34"/>
      <c r="AS1364" s="34"/>
    </row>
    <row r="1365" spans="1:45" x14ac:dyDescent="0.2">
      <c r="A1365" s="18"/>
      <c r="C1365" s="17" t="s">
        <v>55</v>
      </c>
      <c r="D1365" s="19">
        <f>3152350/1000</f>
        <v>3152.35</v>
      </c>
      <c r="E1365" s="19">
        <f>[1]TOBEPAID!E1034/1000</f>
        <v>0</v>
      </c>
      <c r="F1365" s="19">
        <f>[1]TOBEPAID!F1034/1000</f>
        <v>0</v>
      </c>
      <c r="G1365" s="19">
        <f>[1]TOBEPAID!G1034/1000</f>
        <v>0</v>
      </c>
      <c r="H1365" s="19">
        <v>0</v>
      </c>
      <c r="I1365" s="19">
        <f>[1]TOBEPAID!I1034/1000</f>
        <v>0</v>
      </c>
      <c r="J1365" s="19">
        <f>[1]TOBEPAID!J1034/1000</f>
        <v>0</v>
      </c>
      <c r="K1365" s="19">
        <f>[1]TOBEPAID!K1034/1000</f>
        <v>0</v>
      </c>
      <c r="L1365" s="19">
        <f>[1]TOBEPAID!L1034/1000</f>
        <v>0</v>
      </c>
      <c r="M1365" s="19">
        <f>[1]TOBEPAID!M1034/1000</f>
        <v>0</v>
      </c>
      <c r="N1365" s="19">
        <f>[1]TOBEPAID!N1034/1000</f>
        <v>0</v>
      </c>
      <c r="O1365" s="19">
        <f>[1]TOBEPAID!O1034/1000</f>
        <v>0</v>
      </c>
      <c r="P1365" s="19">
        <f>[1]TOBEPAID!P1034/1000</f>
        <v>0</v>
      </c>
      <c r="Q1365" s="19">
        <f>[1]TOBEPAID!Q1034/1000</f>
        <v>0</v>
      </c>
      <c r="R1365" s="19">
        <v>0</v>
      </c>
      <c r="S1365" s="19">
        <f>[1]TOBEPAID!S1034/1000</f>
        <v>0</v>
      </c>
      <c r="T1365" s="19">
        <f>[1]TOBEPAID!T1034/1000</f>
        <v>0</v>
      </c>
      <c r="U1365" s="19">
        <f>[1]TOBEPAID!U1034/1000</f>
        <v>0</v>
      </c>
      <c r="V1365" s="19">
        <f>[1]TOBEPAID!V1034/1000</f>
        <v>0</v>
      </c>
      <c r="W1365" s="19">
        <f>[1]TOBEPAID!W1034/1000</f>
        <v>0</v>
      </c>
      <c r="X1365" s="19">
        <f>[1]TOBEPAID!X1034/1000</f>
        <v>0</v>
      </c>
      <c r="Y1365" s="19">
        <f>+H1365+R1365</f>
        <v>0</v>
      </c>
      <c r="Z1365" s="19">
        <f t="shared" si="253"/>
        <v>3152.35</v>
      </c>
      <c r="AA1365" s="19">
        <f>[1]TOBEPAID!AA1034/1000</f>
        <v>0</v>
      </c>
      <c r="AB1365" s="19">
        <f>[1]TOBEPAID!AB1034/1000</f>
        <v>3152.35</v>
      </c>
      <c r="AC1365" s="19"/>
      <c r="AD1365" s="19"/>
      <c r="AF1365" s="34"/>
      <c r="AG1365" s="34"/>
      <c r="AH1365" s="34"/>
      <c r="AI1365" s="34"/>
      <c r="AJ1365" s="34"/>
      <c r="AK1365" s="34"/>
      <c r="AL1365" s="34"/>
      <c r="AM1365" s="34"/>
      <c r="AN1365" s="34"/>
      <c r="AO1365" s="34"/>
      <c r="AP1365" s="34"/>
      <c r="AQ1365" s="34"/>
      <c r="AR1365" s="34"/>
      <c r="AS1365" s="34"/>
    </row>
    <row r="1366" spans="1:45" x14ac:dyDescent="0.2">
      <c r="A1366" s="18"/>
      <c r="B1366" s="9"/>
      <c r="D1366" s="21" t="s">
        <v>57</v>
      </c>
      <c r="E1366" s="21" t="s">
        <v>57</v>
      </c>
      <c r="F1366" s="21" t="s">
        <v>57</v>
      </c>
      <c r="G1366" s="21"/>
      <c r="H1366" s="21" t="s">
        <v>57</v>
      </c>
      <c r="I1366" s="21" t="s">
        <v>57</v>
      </c>
      <c r="J1366" s="21" t="s">
        <v>57</v>
      </c>
      <c r="K1366" s="21" t="s">
        <v>57</v>
      </c>
      <c r="L1366" s="21" t="s">
        <v>57</v>
      </c>
      <c r="M1366" s="21"/>
      <c r="N1366" s="21" t="s">
        <v>57</v>
      </c>
      <c r="O1366" s="21" t="s">
        <v>57</v>
      </c>
      <c r="P1366" s="21" t="s">
        <v>57</v>
      </c>
      <c r="Q1366" s="21"/>
      <c r="R1366" s="21" t="s">
        <v>57</v>
      </c>
      <c r="S1366" s="21" t="s">
        <v>57</v>
      </c>
      <c r="T1366" s="21" t="s">
        <v>57</v>
      </c>
      <c r="U1366" s="21" t="s">
        <v>57</v>
      </c>
      <c r="V1366" s="21" t="s">
        <v>57</v>
      </c>
      <c r="W1366" s="21"/>
      <c r="X1366" s="21" t="s">
        <v>57</v>
      </c>
      <c r="Y1366" s="21" t="s">
        <v>57</v>
      </c>
      <c r="Z1366" s="21" t="s">
        <v>57</v>
      </c>
      <c r="AA1366" s="21" t="s">
        <v>57</v>
      </c>
      <c r="AB1366" s="21" t="s">
        <v>57</v>
      </c>
      <c r="AC1366" s="21"/>
      <c r="AD1366" s="21"/>
      <c r="AF1366" s="34"/>
      <c r="AG1366" s="34"/>
      <c r="AH1366" s="34"/>
      <c r="AI1366" s="34"/>
      <c r="AJ1366" s="34"/>
      <c r="AK1366" s="34"/>
      <c r="AL1366" s="34"/>
      <c r="AM1366" s="34"/>
      <c r="AN1366" s="34"/>
      <c r="AO1366" s="34"/>
      <c r="AP1366" s="34"/>
      <c r="AQ1366" s="34"/>
      <c r="AR1366" s="34"/>
      <c r="AS1366" s="34"/>
    </row>
    <row r="1367" spans="1:45" x14ac:dyDescent="0.2">
      <c r="A1367" s="18"/>
      <c r="D1367" s="19">
        <f>SUM(D1360:D1365)</f>
        <v>71237.52900000001</v>
      </c>
      <c r="E1367" s="19">
        <f>SUM(E1360:E1365)</f>
        <v>2322.8182499999998</v>
      </c>
      <c r="F1367" s="19">
        <f>SUM(F1360:F1365)</f>
        <v>0</v>
      </c>
      <c r="G1367" s="19"/>
      <c r="H1367" s="19">
        <f>SUM(H1360:H1365)</f>
        <v>15687.817999999999</v>
      </c>
      <c r="I1367" s="19">
        <f>SUM(I1360:I1365)</f>
        <v>0</v>
      </c>
      <c r="J1367" s="19">
        <f>SUM(J1360:J1365)</f>
        <v>0</v>
      </c>
      <c r="K1367" s="19">
        <f>SUM(K1360:K1365)</f>
        <v>0</v>
      </c>
      <c r="L1367" s="19">
        <f>SUM(L1360:L1365)</f>
        <v>0</v>
      </c>
      <c r="M1367" s="19"/>
      <c r="N1367" s="19">
        <f>SUM(N1360:N1365)</f>
        <v>2322.8182499999998</v>
      </c>
      <c r="O1367" s="19">
        <f>SUM(O1360:O1365)</f>
        <v>2000</v>
      </c>
      <c r="P1367" s="19">
        <f>SUM(P1360:P1365)</f>
        <v>0</v>
      </c>
      <c r="Q1367" s="19"/>
      <c r="R1367" s="19">
        <f>SUM(R1360:R1365)</f>
        <v>2000</v>
      </c>
      <c r="S1367" s="19">
        <f>SUM(S1360:S1365)</f>
        <v>0</v>
      </c>
      <c r="T1367" s="19">
        <f>SUM(T1360:T1365)</f>
        <v>0</v>
      </c>
      <c r="U1367" s="19">
        <f>SUM(U1360:U1365)</f>
        <v>0</v>
      </c>
      <c r="V1367" s="19">
        <f>SUM(V1360:V1365)</f>
        <v>0</v>
      </c>
      <c r="W1367" s="19"/>
      <c r="X1367" s="19">
        <f>SUM(X1360:X1365)</f>
        <v>2000</v>
      </c>
      <c r="Y1367" s="19">
        <f>SUM(Y1360:Y1365)</f>
        <v>17687.817999999999</v>
      </c>
      <c r="Z1367" s="19">
        <f>SUM(Z1360:Z1365)</f>
        <v>53549.710999999996</v>
      </c>
      <c r="AA1367" s="19">
        <f>SUM(AA1360:AA1365)</f>
        <v>4322.8182500000003</v>
      </c>
      <c r="AB1367" s="19">
        <f>SUM(AB1360:AB1365)</f>
        <v>53549.71153</v>
      </c>
      <c r="AC1367" s="19"/>
      <c r="AD1367" s="19"/>
      <c r="AF1367" s="34"/>
      <c r="AG1367" s="34"/>
      <c r="AH1367" s="34"/>
      <c r="AI1367" s="34"/>
      <c r="AJ1367" s="34"/>
      <c r="AK1367" s="34"/>
      <c r="AL1367" s="34"/>
      <c r="AM1367" s="34"/>
      <c r="AN1367" s="34"/>
      <c r="AO1367" s="34"/>
      <c r="AP1367" s="34"/>
      <c r="AQ1367" s="34"/>
      <c r="AR1367" s="34"/>
      <c r="AS1367" s="34"/>
    </row>
    <row r="1368" spans="1:45" x14ac:dyDescent="0.2">
      <c r="A1368" s="18"/>
      <c r="D1368" s="21" t="s">
        <v>57</v>
      </c>
      <c r="E1368" s="21" t="s">
        <v>57</v>
      </c>
      <c r="F1368" s="21" t="s">
        <v>57</v>
      </c>
      <c r="G1368" s="21"/>
      <c r="H1368" s="21" t="s">
        <v>57</v>
      </c>
      <c r="I1368" s="21" t="s">
        <v>57</v>
      </c>
      <c r="J1368" s="21" t="s">
        <v>57</v>
      </c>
      <c r="K1368" s="21" t="s">
        <v>57</v>
      </c>
      <c r="L1368" s="21" t="s">
        <v>57</v>
      </c>
      <c r="M1368" s="21"/>
      <c r="N1368" s="21" t="s">
        <v>57</v>
      </c>
      <c r="O1368" s="21" t="s">
        <v>57</v>
      </c>
      <c r="P1368" s="21" t="s">
        <v>57</v>
      </c>
      <c r="Q1368" s="21"/>
      <c r="R1368" s="21" t="s">
        <v>57</v>
      </c>
      <c r="S1368" s="21" t="s">
        <v>57</v>
      </c>
      <c r="T1368" s="21" t="s">
        <v>57</v>
      </c>
      <c r="U1368" s="21" t="s">
        <v>57</v>
      </c>
      <c r="V1368" s="21" t="s">
        <v>57</v>
      </c>
      <c r="W1368" s="21"/>
      <c r="X1368" s="21" t="s">
        <v>57</v>
      </c>
      <c r="Y1368" s="21" t="s">
        <v>57</v>
      </c>
      <c r="Z1368" s="21" t="s">
        <v>57</v>
      </c>
      <c r="AA1368" s="21" t="s">
        <v>57</v>
      </c>
      <c r="AB1368" s="21" t="s">
        <v>57</v>
      </c>
      <c r="AC1368" s="21"/>
      <c r="AD1368" s="21"/>
      <c r="AF1368" s="34"/>
      <c r="AG1368" s="34"/>
      <c r="AH1368" s="34"/>
      <c r="AI1368" s="34"/>
      <c r="AJ1368" s="34"/>
      <c r="AK1368" s="34"/>
      <c r="AL1368" s="34"/>
      <c r="AM1368" s="34"/>
      <c r="AN1368" s="34"/>
      <c r="AO1368" s="34"/>
      <c r="AP1368" s="34"/>
      <c r="AQ1368" s="34"/>
      <c r="AR1368" s="34"/>
      <c r="AS1368" s="34"/>
    </row>
    <row r="1369" spans="1:45" x14ac:dyDescent="0.2">
      <c r="A1369" s="18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  <c r="S1369" s="21"/>
      <c r="T1369" s="21"/>
      <c r="U1369" s="21"/>
      <c r="V1369" s="21"/>
      <c r="W1369" s="21"/>
      <c r="X1369" s="21"/>
      <c r="Y1369" s="21"/>
      <c r="Z1369" s="21"/>
      <c r="AA1369" s="21"/>
      <c r="AB1369" s="21"/>
      <c r="AC1369" s="21"/>
      <c r="AD1369" s="21"/>
      <c r="AF1369" s="34"/>
      <c r="AG1369" s="34"/>
      <c r="AH1369" s="34"/>
      <c r="AI1369" s="34"/>
      <c r="AJ1369" s="34"/>
      <c r="AK1369" s="34"/>
      <c r="AL1369" s="34"/>
      <c r="AM1369" s="34"/>
      <c r="AN1369" s="34"/>
      <c r="AO1369" s="34"/>
      <c r="AP1369" s="34"/>
      <c r="AQ1369" s="34"/>
      <c r="AR1369" s="34"/>
      <c r="AS1369" s="34"/>
    </row>
    <row r="1370" spans="1:45" x14ac:dyDescent="0.2">
      <c r="A1370" s="18">
        <v>108</v>
      </c>
      <c r="B1370" s="17" t="s">
        <v>375</v>
      </c>
      <c r="C1370" s="17" t="s">
        <v>51</v>
      </c>
      <c r="D1370" s="19">
        <f>20838782/1000</f>
        <v>20838.781999999999</v>
      </c>
      <c r="E1370" s="19">
        <f>[1]TOBEPAID!E1039/1000</f>
        <v>0</v>
      </c>
      <c r="F1370" s="19">
        <f>[1]TOBEPAID!F1039/1000</f>
        <v>0</v>
      </c>
      <c r="G1370" s="19">
        <f>[1]TOBEPAID!G1039/1000</f>
        <v>0</v>
      </c>
      <c r="H1370" s="19">
        <f>1018839/1000</f>
        <v>1018.8390000000001</v>
      </c>
      <c r="I1370" s="19">
        <f>[1]TOBEPAID!I1039/1000</f>
        <v>0</v>
      </c>
      <c r="J1370" s="19">
        <f>[1]TOBEPAID!J1039/1000</f>
        <v>0</v>
      </c>
      <c r="K1370" s="19">
        <f>[1]TOBEPAID!K1039/1000</f>
        <v>0</v>
      </c>
      <c r="L1370" s="19">
        <f>[1]TOBEPAID!L1039/1000</f>
        <v>0</v>
      </c>
      <c r="M1370" s="19">
        <f>[1]TOBEPAID!M1039/1000</f>
        <v>0</v>
      </c>
      <c r="N1370" s="19">
        <f>[1]TOBEPAID!N1039/1000</f>
        <v>0</v>
      </c>
      <c r="O1370" s="19">
        <f>[1]TOBEPAID!O1039/1000</f>
        <v>0</v>
      </c>
      <c r="P1370" s="19">
        <f>[1]TOBEPAID!P1039/1000</f>
        <v>0</v>
      </c>
      <c r="Q1370" s="19">
        <f>[1]TOBEPAID!Q1039/1000</f>
        <v>0</v>
      </c>
      <c r="R1370" s="19">
        <f>365816.41/1000</f>
        <v>365.81640999999996</v>
      </c>
      <c r="S1370" s="19">
        <f>[1]TOBEPAID!S1039/1000</f>
        <v>0</v>
      </c>
      <c r="T1370" s="19">
        <f>[1]TOBEPAID!T1039/1000</f>
        <v>0</v>
      </c>
      <c r="U1370" s="19">
        <f>[1]TOBEPAID!U1039/1000</f>
        <v>0</v>
      </c>
      <c r="V1370" s="19">
        <f>[1]TOBEPAID!V1039/1000</f>
        <v>0</v>
      </c>
      <c r="W1370" s="19">
        <f>[1]TOBEPAID!W1039/1000</f>
        <v>0</v>
      </c>
      <c r="X1370" s="19">
        <f>[1]TOBEPAID!X1039/1000</f>
        <v>0</v>
      </c>
      <c r="Y1370" s="19">
        <f t="shared" ref="Y1370:Y1376" si="254">+H1370+R1370</f>
        <v>1384.6554100000001</v>
      </c>
      <c r="Z1370" s="19">
        <f t="shared" ref="Z1370:Z1376" si="255">+D1370-Y1370</f>
        <v>19454.12659</v>
      </c>
      <c r="AA1370" s="19">
        <f>[1]TOBEPAID!AA1039/1000</f>
        <v>0</v>
      </c>
      <c r="AB1370" s="19">
        <f>[1]TOBEPAID!AB1039/1000</f>
        <v>20838.78284</v>
      </c>
      <c r="AC1370" s="19"/>
      <c r="AD1370" s="19"/>
      <c r="AF1370" s="34"/>
      <c r="AG1370" s="34"/>
      <c r="AH1370" s="34"/>
      <c r="AI1370" s="34"/>
      <c r="AJ1370" s="34"/>
      <c r="AK1370" s="34"/>
      <c r="AL1370" s="34"/>
      <c r="AM1370" s="34"/>
      <c r="AN1370" s="34"/>
      <c r="AO1370" s="34"/>
      <c r="AP1370" s="34"/>
      <c r="AQ1370" s="34"/>
      <c r="AR1370" s="34"/>
      <c r="AS1370" s="34"/>
    </row>
    <row r="1371" spans="1:45" x14ac:dyDescent="0.2">
      <c r="A1371" s="18"/>
      <c r="C1371" s="20" t="s">
        <v>52</v>
      </c>
      <c r="D1371" s="19">
        <f>1300242/1000</f>
        <v>1300.242</v>
      </c>
      <c r="E1371" s="19">
        <f>[1]TOBEPAID!E1040/1000</f>
        <v>1300.2423799999999</v>
      </c>
      <c r="F1371" s="19">
        <f>[1]TOBEPAID!F1040/1000</f>
        <v>0</v>
      </c>
      <c r="G1371" s="19">
        <f>[1]TOBEPAID!G1040/1000</f>
        <v>0</v>
      </c>
      <c r="H1371" s="19">
        <f>1300242/1000</f>
        <v>1300.242</v>
      </c>
      <c r="I1371" s="19">
        <f>[1]TOBEPAID!I1040/1000</f>
        <v>0</v>
      </c>
      <c r="J1371" s="19">
        <f>[1]TOBEPAID!J1040/1000</f>
        <v>0</v>
      </c>
      <c r="K1371" s="19">
        <f>[1]TOBEPAID!K1040/1000</f>
        <v>0</v>
      </c>
      <c r="L1371" s="19">
        <f>[1]TOBEPAID!L1040/1000</f>
        <v>0</v>
      </c>
      <c r="M1371" s="19">
        <f>[1]TOBEPAID!M1040/1000</f>
        <v>0</v>
      </c>
      <c r="N1371" s="19">
        <f>[1]TOBEPAID!N1040/1000</f>
        <v>1300.2423799999999</v>
      </c>
      <c r="O1371" s="19">
        <f>[1]TOBEPAID!O1040/1000</f>
        <v>0</v>
      </c>
      <c r="P1371" s="19">
        <f>[1]TOBEPAID!P1040/1000</f>
        <v>0</v>
      </c>
      <c r="Q1371" s="19">
        <f>[1]TOBEPAID!Q1040/1000</f>
        <v>0</v>
      </c>
      <c r="R1371" s="19">
        <v>0</v>
      </c>
      <c r="S1371" s="19">
        <f>[1]TOBEPAID!S1040/1000</f>
        <v>0</v>
      </c>
      <c r="T1371" s="19">
        <f>[1]TOBEPAID!T1040/1000</f>
        <v>0</v>
      </c>
      <c r="U1371" s="19">
        <f>[1]TOBEPAID!U1040/1000</f>
        <v>0</v>
      </c>
      <c r="V1371" s="19">
        <f>[1]TOBEPAID!V1040/1000</f>
        <v>0</v>
      </c>
      <c r="W1371" s="19">
        <f>[1]TOBEPAID!W1040/1000</f>
        <v>0</v>
      </c>
      <c r="X1371" s="19">
        <f>[1]TOBEPAID!X1040/1000</f>
        <v>0</v>
      </c>
      <c r="Y1371" s="19">
        <f t="shared" si="254"/>
        <v>1300.242</v>
      </c>
      <c r="Z1371" s="19">
        <f t="shared" si="255"/>
        <v>0</v>
      </c>
      <c r="AA1371" s="19">
        <f>[1]TOBEPAID!AA1040/1000</f>
        <v>1300.2423799999999</v>
      </c>
      <c r="AB1371" s="19">
        <f>[1]TOBEPAID!AB1040/1000</f>
        <v>0</v>
      </c>
      <c r="AC1371" s="19"/>
      <c r="AD1371" s="19"/>
      <c r="AF1371" s="34"/>
      <c r="AG1371" s="34"/>
      <c r="AH1371" s="34"/>
      <c r="AI1371" s="34"/>
      <c r="AJ1371" s="34"/>
      <c r="AK1371" s="34"/>
      <c r="AL1371" s="34"/>
      <c r="AM1371" s="34"/>
      <c r="AN1371" s="34"/>
      <c r="AO1371" s="34"/>
      <c r="AP1371" s="34"/>
      <c r="AQ1371" s="34"/>
      <c r="AR1371" s="34"/>
      <c r="AS1371" s="34"/>
    </row>
    <row r="1372" spans="1:45" x14ac:dyDescent="0.2">
      <c r="A1372" s="18"/>
      <c r="C1372" s="17" t="s">
        <v>96</v>
      </c>
      <c r="D1372" s="19">
        <f>6966507/1000</f>
        <v>6966.5069999999996</v>
      </c>
      <c r="E1372" s="19">
        <f>[1]TOBEPAID!E1041/1000</f>
        <v>0</v>
      </c>
      <c r="F1372" s="19">
        <f>[1]TOBEPAID!F1041/1000</f>
        <v>0</v>
      </c>
      <c r="G1372" s="19">
        <f>[1]TOBEPAID!G1041/1000</f>
        <v>0</v>
      </c>
      <c r="H1372" s="19">
        <v>0</v>
      </c>
      <c r="I1372" s="19">
        <f>[1]TOBEPAID!I1041/1000</f>
        <v>0</v>
      </c>
      <c r="J1372" s="19">
        <f>[1]TOBEPAID!J1041/1000</f>
        <v>0</v>
      </c>
      <c r="K1372" s="19">
        <f>[1]TOBEPAID!K1041/1000</f>
        <v>0</v>
      </c>
      <c r="L1372" s="19">
        <f>[1]TOBEPAID!L1041/1000</f>
        <v>0</v>
      </c>
      <c r="M1372" s="19">
        <f>[1]TOBEPAID!M1041/1000</f>
        <v>0</v>
      </c>
      <c r="N1372" s="19">
        <f>[1]TOBEPAID!N1041/1000</f>
        <v>0</v>
      </c>
      <c r="O1372" s="19">
        <f>[1]TOBEPAID!O1041/1000</f>
        <v>493.85509999999999</v>
      </c>
      <c r="P1372" s="19">
        <f>[1]TOBEPAID!P1041/1000</f>
        <v>0</v>
      </c>
      <c r="Q1372" s="19">
        <f>[1]TOBEPAID!Q1041/1000</f>
        <v>0</v>
      </c>
      <c r="R1372" s="19">
        <f>493855/1000</f>
        <v>493.85500000000002</v>
      </c>
      <c r="S1372" s="19">
        <f>[1]TOBEPAID!S1041/1000</f>
        <v>0</v>
      </c>
      <c r="T1372" s="19">
        <f>[1]TOBEPAID!T1041/1000</f>
        <v>0</v>
      </c>
      <c r="U1372" s="19">
        <f>[1]TOBEPAID!U1041/1000</f>
        <v>0</v>
      </c>
      <c r="V1372" s="19">
        <f>[1]TOBEPAID!V1041/1000</f>
        <v>0</v>
      </c>
      <c r="W1372" s="19">
        <f>[1]TOBEPAID!W1041/1000</f>
        <v>0</v>
      </c>
      <c r="X1372" s="19">
        <f>[1]TOBEPAID!X1041/1000</f>
        <v>493.85509999999999</v>
      </c>
      <c r="Y1372" s="19">
        <f t="shared" si="254"/>
        <v>493.85500000000002</v>
      </c>
      <c r="Z1372" s="19">
        <f t="shared" si="255"/>
        <v>6472.652</v>
      </c>
      <c r="AA1372" s="19">
        <f>[1]TOBEPAID!AA1041/1000</f>
        <v>493.85509999999999</v>
      </c>
      <c r="AB1372" s="19">
        <f>[1]TOBEPAID!AB1041/1000</f>
        <v>6472.6524800000007</v>
      </c>
      <c r="AC1372" s="19"/>
      <c r="AD1372" s="19"/>
      <c r="AF1372" s="34"/>
      <c r="AG1372" s="34"/>
      <c r="AH1372" s="34"/>
      <c r="AI1372" s="34"/>
      <c r="AJ1372" s="34"/>
      <c r="AK1372" s="34"/>
      <c r="AL1372" s="34"/>
      <c r="AM1372" s="34"/>
      <c r="AN1372" s="34"/>
      <c r="AO1372" s="34"/>
      <c r="AP1372" s="34"/>
      <c r="AQ1372" s="34"/>
      <c r="AR1372" s="34"/>
      <c r="AS1372" s="34"/>
    </row>
    <row r="1373" spans="1:45" x14ac:dyDescent="0.2">
      <c r="A1373" s="18"/>
      <c r="C1373" s="17" t="s">
        <v>376</v>
      </c>
      <c r="D1373" s="19">
        <f>11600000/1000</f>
        <v>11600</v>
      </c>
      <c r="E1373" s="19"/>
      <c r="F1373" s="19"/>
      <c r="G1373" s="19"/>
      <c r="H1373" s="19">
        <f>11500000/1000</f>
        <v>11500</v>
      </c>
      <c r="I1373" s="19"/>
      <c r="J1373" s="19"/>
      <c r="K1373" s="19"/>
      <c r="L1373" s="19"/>
      <c r="M1373" s="19"/>
      <c r="N1373" s="19"/>
      <c r="O1373" s="19"/>
      <c r="P1373" s="19"/>
      <c r="Q1373" s="19"/>
      <c r="R1373" s="19">
        <v>0</v>
      </c>
      <c r="S1373" s="19"/>
      <c r="T1373" s="19"/>
      <c r="U1373" s="19"/>
      <c r="V1373" s="19"/>
      <c r="W1373" s="19"/>
      <c r="X1373" s="19"/>
      <c r="Y1373" s="19">
        <f>+H1373+R1373</f>
        <v>11500</v>
      </c>
      <c r="Z1373" s="19">
        <f t="shared" si="255"/>
        <v>100</v>
      </c>
      <c r="AA1373" s="19"/>
      <c r="AB1373" s="19"/>
      <c r="AC1373" s="19"/>
      <c r="AD1373" s="19"/>
      <c r="AF1373" s="34"/>
      <c r="AG1373" s="34"/>
      <c r="AH1373" s="34"/>
      <c r="AI1373" s="34"/>
      <c r="AJ1373" s="34"/>
      <c r="AK1373" s="34"/>
      <c r="AL1373" s="34"/>
      <c r="AM1373" s="34"/>
      <c r="AN1373" s="34"/>
      <c r="AO1373" s="34"/>
      <c r="AP1373" s="34"/>
      <c r="AQ1373" s="34"/>
      <c r="AR1373" s="34"/>
      <c r="AS1373" s="34"/>
    </row>
    <row r="1374" spans="1:45" x14ac:dyDescent="0.2">
      <c r="A1374" s="18"/>
      <c r="C1374" s="3" t="s">
        <v>377</v>
      </c>
      <c r="D1374" s="19">
        <f>1684796.77/1000</f>
        <v>1684.7967699999999</v>
      </c>
      <c r="E1374" s="19"/>
      <c r="F1374" s="19"/>
      <c r="G1374" s="19"/>
      <c r="H1374" s="19">
        <f>1684796.77/1000</f>
        <v>1684.7967699999999</v>
      </c>
      <c r="I1374" s="19"/>
      <c r="J1374" s="19"/>
      <c r="K1374" s="19"/>
      <c r="L1374" s="19"/>
      <c r="M1374" s="19"/>
      <c r="N1374" s="19"/>
      <c r="O1374" s="19"/>
      <c r="P1374" s="19"/>
      <c r="Q1374" s="19"/>
      <c r="R1374" s="19">
        <v>0</v>
      </c>
      <c r="S1374" s="19"/>
      <c r="T1374" s="19"/>
      <c r="U1374" s="19"/>
      <c r="V1374" s="19"/>
      <c r="W1374" s="19"/>
      <c r="X1374" s="19"/>
      <c r="Y1374" s="19">
        <f t="shared" si="254"/>
        <v>1684.7967699999999</v>
      </c>
      <c r="Z1374" s="19">
        <f t="shared" si="255"/>
        <v>0</v>
      </c>
      <c r="AA1374" s="19"/>
      <c r="AB1374" s="19"/>
      <c r="AC1374" s="19"/>
      <c r="AD1374" s="19"/>
      <c r="AF1374" s="34"/>
      <c r="AG1374" s="34"/>
      <c r="AH1374" s="34"/>
      <c r="AI1374" s="34"/>
      <c r="AJ1374" s="34"/>
      <c r="AK1374" s="34"/>
      <c r="AL1374" s="34"/>
      <c r="AM1374" s="34"/>
      <c r="AN1374" s="34"/>
      <c r="AO1374" s="34"/>
      <c r="AP1374" s="34"/>
      <c r="AQ1374" s="34"/>
      <c r="AR1374" s="34"/>
      <c r="AS1374" s="34"/>
    </row>
    <row r="1375" spans="1:45" x14ac:dyDescent="0.2">
      <c r="A1375" s="18"/>
      <c r="C1375" s="17" t="s">
        <v>55</v>
      </c>
      <c r="D1375" s="19">
        <f>5017163/1000</f>
        <v>5017.1629999999996</v>
      </c>
      <c r="E1375" s="19">
        <f>[1]TOBEPAID!E1042/1000</f>
        <v>0</v>
      </c>
      <c r="F1375" s="19">
        <f>[1]TOBEPAID!F1042/1000</f>
        <v>0</v>
      </c>
      <c r="G1375" s="19">
        <f>[1]TOBEPAID!G1042/1000</f>
        <v>0</v>
      </c>
      <c r="H1375" s="19">
        <v>0</v>
      </c>
      <c r="I1375" s="19">
        <f>[1]TOBEPAID!I1042/1000</f>
        <v>0</v>
      </c>
      <c r="J1375" s="19">
        <f>[1]TOBEPAID!J1042/1000</f>
        <v>0</v>
      </c>
      <c r="K1375" s="19">
        <f>[1]TOBEPAID!K1042/1000</f>
        <v>0</v>
      </c>
      <c r="L1375" s="19">
        <f>[1]TOBEPAID!L1042/1000</f>
        <v>0</v>
      </c>
      <c r="M1375" s="19">
        <f>[1]TOBEPAID!M1042/1000</f>
        <v>0</v>
      </c>
      <c r="N1375" s="19">
        <f>[1]TOBEPAID!N1042/1000</f>
        <v>0</v>
      </c>
      <c r="O1375" s="19">
        <f>[1]TOBEPAID!O1042/1000</f>
        <v>0</v>
      </c>
      <c r="P1375" s="19">
        <f>[1]TOBEPAID!P1042/1000</f>
        <v>0</v>
      </c>
      <c r="Q1375" s="19">
        <f>[1]TOBEPAID!Q1042/1000</f>
        <v>0</v>
      </c>
      <c r="R1375" s="19">
        <f>37800/1000</f>
        <v>37.799999999999997</v>
      </c>
      <c r="S1375" s="19">
        <f>[1]TOBEPAID!S1042/1000</f>
        <v>0</v>
      </c>
      <c r="T1375" s="19">
        <f>[1]TOBEPAID!T1042/1000</f>
        <v>0</v>
      </c>
      <c r="U1375" s="19">
        <f>[1]TOBEPAID!U1042/1000</f>
        <v>0</v>
      </c>
      <c r="V1375" s="19">
        <f>[1]TOBEPAID!V1042/1000</f>
        <v>0</v>
      </c>
      <c r="W1375" s="19">
        <f>[1]TOBEPAID!W1042/1000</f>
        <v>0</v>
      </c>
      <c r="X1375" s="19">
        <f>[1]TOBEPAID!X1042/1000</f>
        <v>0</v>
      </c>
      <c r="Y1375" s="19">
        <f t="shared" si="254"/>
        <v>37.799999999999997</v>
      </c>
      <c r="Z1375" s="19">
        <f t="shared" si="255"/>
        <v>4979.3629999999994</v>
      </c>
      <c r="AA1375" s="19">
        <f>[1]TOBEPAID!AA1042/1000</f>
        <v>0</v>
      </c>
      <c r="AB1375" s="19">
        <f>[1]TOBEPAID!AB1042/1000</f>
        <v>5017.1630500000001</v>
      </c>
      <c r="AC1375" s="19"/>
      <c r="AD1375" s="19"/>
      <c r="AF1375" s="34"/>
      <c r="AG1375" s="34"/>
      <c r="AH1375" s="34"/>
      <c r="AI1375" s="34"/>
      <c r="AJ1375" s="34"/>
      <c r="AK1375" s="34"/>
      <c r="AL1375" s="34"/>
      <c r="AM1375" s="34"/>
      <c r="AN1375" s="34"/>
      <c r="AO1375" s="34"/>
      <c r="AP1375" s="34"/>
      <c r="AQ1375" s="34"/>
      <c r="AR1375" s="34"/>
      <c r="AS1375" s="34"/>
    </row>
    <row r="1376" spans="1:45" x14ac:dyDescent="0.2">
      <c r="A1376" s="18"/>
      <c r="C1376" s="17" t="s">
        <v>97</v>
      </c>
      <c r="D1376" s="19">
        <f>5096366/1000</f>
        <v>5096.366</v>
      </c>
      <c r="E1376" s="19">
        <f>[1]TOBEPAID!E1043/1000</f>
        <v>0</v>
      </c>
      <c r="F1376" s="19">
        <f>[1]TOBEPAID!F1043/1000</f>
        <v>0</v>
      </c>
      <c r="G1376" s="19">
        <f>[1]TOBEPAID!G1043/1000</f>
        <v>0</v>
      </c>
      <c r="H1376" s="19">
        <v>0</v>
      </c>
      <c r="I1376" s="19">
        <f>[1]TOBEPAID!I1043/1000</f>
        <v>0</v>
      </c>
      <c r="J1376" s="19">
        <f>[1]TOBEPAID!J1043/1000</f>
        <v>0</v>
      </c>
      <c r="K1376" s="19">
        <f>[1]TOBEPAID!K1043/1000</f>
        <v>0</v>
      </c>
      <c r="L1376" s="19">
        <f>[1]TOBEPAID!L1043/1000</f>
        <v>0</v>
      </c>
      <c r="M1376" s="19">
        <f>[1]TOBEPAID!M1043/1000</f>
        <v>0</v>
      </c>
      <c r="N1376" s="19">
        <f>[1]TOBEPAID!N1043/1000</f>
        <v>0</v>
      </c>
      <c r="O1376" s="19">
        <f>[1]TOBEPAID!O1043/1000</f>
        <v>5096.3667699999996</v>
      </c>
      <c r="P1376" s="19">
        <f>[1]TOBEPAID!P1043/1000</f>
        <v>0</v>
      </c>
      <c r="Q1376" s="19">
        <f>[1]TOBEPAID!Q1043/1000</f>
        <v>0</v>
      </c>
      <c r="R1376" s="19">
        <f>5096366/1000</f>
        <v>5096.366</v>
      </c>
      <c r="S1376" s="19">
        <f>[1]TOBEPAID!S1043/1000</f>
        <v>0</v>
      </c>
      <c r="T1376" s="19">
        <f>[1]TOBEPAID!T1043/1000</f>
        <v>0</v>
      </c>
      <c r="U1376" s="19">
        <f>[1]TOBEPAID!U1043/1000</f>
        <v>0</v>
      </c>
      <c r="V1376" s="19">
        <f>[1]TOBEPAID!V1043/1000</f>
        <v>0</v>
      </c>
      <c r="W1376" s="19">
        <f>[1]TOBEPAID!W1043/1000</f>
        <v>0</v>
      </c>
      <c r="X1376" s="19">
        <f>[1]TOBEPAID!X1043/1000</f>
        <v>5096.3667699999996</v>
      </c>
      <c r="Y1376" s="19">
        <f t="shared" si="254"/>
        <v>5096.366</v>
      </c>
      <c r="Z1376" s="19">
        <f t="shared" si="255"/>
        <v>0</v>
      </c>
      <c r="AA1376" s="19">
        <f>[1]TOBEPAID!AA1043/1000</f>
        <v>5096.3667699999996</v>
      </c>
      <c r="AB1376" s="19">
        <f>[1]TOBEPAID!AB1043/1000</f>
        <v>0</v>
      </c>
      <c r="AC1376" s="19"/>
      <c r="AD1376" s="19"/>
      <c r="AF1376" s="34"/>
      <c r="AG1376" s="34"/>
      <c r="AH1376" s="34"/>
      <c r="AI1376" s="34"/>
      <c r="AJ1376" s="34"/>
      <c r="AK1376" s="34"/>
      <c r="AL1376" s="34"/>
      <c r="AM1376" s="34"/>
      <c r="AN1376" s="34"/>
      <c r="AO1376" s="34"/>
      <c r="AP1376" s="34"/>
      <c r="AQ1376" s="34"/>
      <c r="AR1376" s="34"/>
      <c r="AS1376" s="34"/>
    </row>
    <row r="1377" spans="1:45" x14ac:dyDescent="0.2">
      <c r="A1377" s="18"/>
      <c r="D1377" s="21" t="s">
        <v>57</v>
      </c>
      <c r="E1377" s="21" t="s">
        <v>57</v>
      </c>
      <c r="F1377" s="21" t="s">
        <v>57</v>
      </c>
      <c r="G1377" s="21"/>
      <c r="H1377" s="21" t="s">
        <v>57</v>
      </c>
      <c r="I1377" s="21" t="s">
        <v>57</v>
      </c>
      <c r="J1377" s="21" t="s">
        <v>57</v>
      </c>
      <c r="K1377" s="21" t="s">
        <v>57</v>
      </c>
      <c r="L1377" s="21" t="s">
        <v>57</v>
      </c>
      <c r="M1377" s="21"/>
      <c r="N1377" s="21" t="s">
        <v>57</v>
      </c>
      <c r="O1377" s="21" t="s">
        <v>57</v>
      </c>
      <c r="P1377" s="21" t="s">
        <v>57</v>
      </c>
      <c r="Q1377" s="21"/>
      <c r="R1377" s="21" t="s">
        <v>57</v>
      </c>
      <c r="S1377" s="21" t="s">
        <v>57</v>
      </c>
      <c r="T1377" s="21" t="s">
        <v>57</v>
      </c>
      <c r="U1377" s="21" t="s">
        <v>57</v>
      </c>
      <c r="V1377" s="21" t="s">
        <v>57</v>
      </c>
      <c r="W1377" s="21"/>
      <c r="X1377" s="21" t="s">
        <v>57</v>
      </c>
      <c r="Y1377" s="21" t="s">
        <v>57</v>
      </c>
      <c r="Z1377" s="21" t="s">
        <v>57</v>
      </c>
      <c r="AA1377" s="21" t="s">
        <v>57</v>
      </c>
      <c r="AB1377" s="21" t="s">
        <v>57</v>
      </c>
      <c r="AC1377" s="21"/>
      <c r="AD1377" s="21"/>
      <c r="AF1377" s="34"/>
      <c r="AG1377" s="34"/>
      <c r="AH1377" s="34"/>
      <c r="AI1377" s="34"/>
      <c r="AJ1377" s="34"/>
      <c r="AK1377" s="34"/>
      <c r="AL1377" s="34"/>
      <c r="AM1377" s="34"/>
      <c r="AN1377" s="34"/>
      <c r="AO1377" s="34"/>
      <c r="AP1377" s="34"/>
      <c r="AQ1377" s="34"/>
      <c r="AR1377" s="34"/>
      <c r="AS1377" s="34"/>
    </row>
    <row r="1378" spans="1:45" x14ac:dyDescent="0.2">
      <c r="A1378" s="18"/>
      <c r="D1378" s="19">
        <f>SUM(D1370:D1376)</f>
        <v>52503.856769999999</v>
      </c>
      <c r="E1378" s="19">
        <f>SUM(E1370:E1376)</f>
        <v>1300.2423799999999</v>
      </c>
      <c r="F1378" s="19">
        <f>SUM(F1370:F1376)</f>
        <v>0</v>
      </c>
      <c r="G1378" s="19"/>
      <c r="H1378" s="19">
        <f>SUM(H1370:H1376)</f>
        <v>15503.877769999999</v>
      </c>
      <c r="I1378" s="19">
        <f>SUM(I1370:I1376)</f>
        <v>0</v>
      </c>
      <c r="J1378" s="19">
        <f>SUM(J1370:J1376)</f>
        <v>0</v>
      </c>
      <c r="K1378" s="19">
        <f>SUM(K1370:K1376)</f>
        <v>0</v>
      </c>
      <c r="L1378" s="19">
        <f>SUM(L1370:L1376)</f>
        <v>0</v>
      </c>
      <c r="M1378" s="19"/>
      <c r="N1378" s="19">
        <f>SUM(N1370:N1376)</f>
        <v>1300.2423799999999</v>
      </c>
      <c r="O1378" s="19">
        <f>SUM(O1370:O1376)</f>
        <v>5590.2218699999994</v>
      </c>
      <c r="P1378" s="19">
        <f>SUM(P1370:P1376)</f>
        <v>0</v>
      </c>
      <c r="Q1378" s="19"/>
      <c r="R1378" s="19">
        <f>SUM(R1370:R1376)</f>
        <v>5993.8374100000001</v>
      </c>
      <c r="S1378" s="19">
        <f>SUM(S1370:S1376)</f>
        <v>0</v>
      </c>
      <c r="T1378" s="19">
        <f>SUM(T1370:T1376)</f>
        <v>0</v>
      </c>
      <c r="U1378" s="19">
        <f>SUM(U1370:U1376)</f>
        <v>0</v>
      </c>
      <c r="V1378" s="19">
        <f>SUM(V1370:V1376)</f>
        <v>0</v>
      </c>
      <c r="W1378" s="19"/>
      <c r="X1378" s="19">
        <f>SUM(X1370:X1376)</f>
        <v>5590.2218699999994</v>
      </c>
      <c r="Y1378" s="19">
        <f>SUM(Y1370:Y1376)</f>
        <v>21497.715179999999</v>
      </c>
      <c r="Z1378" s="19">
        <f>SUM(Z1370:Z1376)</f>
        <v>31006.141589999999</v>
      </c>
      <c r="AA1378" s="19">
        <f>SUM(AA1370:AA1376)</f>
        <v>6890.4642499999991</v>
      </c>
      <c r="AB1378" s="19">
        <f>SUM(AB1370:AB1376)</f>
        <v>32328.59837</v>
      </c>
      <c r="AC1378" s="19"/>
      <c r="AD1378" s="19"/>
      <c r="AF1378" s="34"/>
      <c r="AG1378" s="34"/>
      <c r="AH1378" s="34"/>
      <c r="AI1378" s="34"/>
      <c r="AJ1378" s="34"/>
      <c r="AK1378" s="34"/>
      <c r="AL1378" s="34"/>
      <c r="AM1378" s="34"/>
      <c r="AN1378" s="34"/>
      <c r="AO1378" s="34"/>
      <c r="AP1378" s="34"/>
      <c r="AQ1378" s="34"/>
      <c r="AR1378" s="34"/>
      <c r="AS1378" s="34"/>
    </row>
    <row r="1379" spans="1:45" x14ac:dyDescent="0.2">
      <c r="A1379" s="18"/>
      <c r="D1379" s="21" t="s">
        <v>57</v>
      </c>
      <c r="E1379" s="21" t="s">
        <v>57</v>
      </c>
      <c r="F1379" s="21" t="s">
        <v>57</v>
      </c>
      <c r="G1379" s="21"/>
      <c r="H1379" s="21" t="s">
        <v>57</v>
      </c>
      <c r="I1379" s="21" t="s">
        <v>57</v>
      </c>
      <c r="J1379" s="21" t="s">
        <v>57</v>
      </c>
      <c r="K1379" s="21" t="s">
        <v>57</v>
      </c>
      <c r="L1379" s="21" t="s">
        <v>57</v>
      </c>
      <c r="M1379" s="21"/>
      <c r="N1379" s="21" t="s">
        <v>57</v>
      </c>
      <c r="O1379" s="21" t="s">
        <v>57</v>
      </c>
      <c r="P1379" s="21" t="s">
        <v>57</v>
      </c>
      <c r="Q1379" s="21"/>
      <c r="R1379" s="21" t="s">
        <v>57</v>
      </c>
      <c r="S1379" s="21" t="s">
        <v>57</v>
      </c>
      <c r="T1379" s="21" t="s">
        <v>57</v>
      </c>
      <c r="U1379" s="21" t="s">
        <v>57</v>
      </c>
      <c r="V1379" s="21" t="s">
        <v>57</v>
      </c>
      <c r="W1379" s="21"/>
      <c r="X1379" s="21" t="s">
        <v>57</v>
      </c>
      <c r="Y1379" s="21" t="s">
        <v>57</v>
      </c>
      <c r="Z1379" s="21" t="s">
        <v>57</v>
      </c>
      <c r="AA1379" s="21" t="s">
        <v>57</v>
      </c>
      <c r="AB1379" s="21" t="s">
        <v>57</v>
      </c>
      <c r="AC1379" s="21"/>
      <c r="AD1379" s="21"/>
      <c r="AF1379" s="34"/>
      <c r="AG1379" s="34"/>
      <c r="AH1379" s="34"/>
      <c r="AI1379" s="34"/>
      <c r="AJ1379" s="34"/>
      <c r="AK1379" s="34"/>
      <c r="AL1379" s="34"/>
      <c r="AM1379" s="34"/>
      <c r="AN1379" s="34"/>
      <c r="AO1379" s="34"/>
      <c r="AP1379" s="34"/>
      <c r="AQ1379" s="34"/>
      <c r="AR1379" s="34"/>
      <c r="AS1379" s="34"/>
    </row>
    <row r="1380" spans="1:45" x14ac:dyDescent="0.2">
      <c r="A1380" s="18"/>
      <c r="D1380" s="21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21"/>
      <c r="R1380" s="21"/>
      <c r="S1380" s="21"/>
      <c r="T1380" s="21"/>
      <c r="U1380" s="21"/>
      <c r="V1380" s="21"/>
      <c r="W1380" s="21"/>
      <c r="X1380" s="21"/>
      <c r="Y1380" s="75"/>
      <c r="Z1380" s="21"/>
      <c r="AA1380" s="21"/>
      <c r="AB1380" s="21"/>
      <c r="AC1380" s="21"/>
      <c r="AD1380" s="21"/>
      <c r="AF1380" s="34"/>
      <c r="AG1380" s="34"/>
      <c r="AH1380" s="34"/>
      <c r="AI1380" s="34"/>
      <c r="AJ1380" s="34"/>
      <c r="AK1380" s="34"/>
      <c r="AL1380" s="34"/>
      <c r="AM1380" s="34"/>
      <c r="AN1380" s="34"/>
      <c r="AO1380" s="34"/>
      <c r="AP1380" s="34"/>
      <c r="AQ1380" s="34"/>
      <c r="AR1380" s="34"/>
      <c r="AS1380" s="34"/>
    </row>
    <row r="1381" spans="1:45" x14ac:dyDescent="0.2">
      <c r="A1381" s="18">
        <v>109</v>
      </c>
      <c r="B1381" s="17" t="s">
        <v>378</v>
      </c>
      <c r="C1381" s="17" t="s">
        <v>51</v>
      </c>
      <c r="D1381" s="19">
        <f>1393121/1000</f>
        <v>1393.1210000000001</v>
      </c>
      <c r="E1381" s="19">
        <f>[1]TOBEPAID!E1048/1000</f>
        <v>0</v>
      </c>
      <c r="F1381" s="19">
        <f>[1]TOBEPAID!F1048/1000</f>
        <v>0</v>
      </c>
      <c r="G1381" s="19">
        <f>[1]TOBEPAID!G1048/1000</f>
        <v>0</v>
      </c>
      <c r="H1381" s="19">
        <v>0</v>
      </c>
      <c r="I1381" s="19">
        <f>[1]TOBEPAID!I1048/1000</f>
        <v>0</v>
      </c>
      <c r="J1381" s="19">
        <f>[1]TOBEPAID!J1048/1000</f>
        <v>0</v>
      </c>
      <c r="K1381" s="19">
        <f>[1]TOBEPAID!K1048/1000</f>
        <v>0</v>
      </c>
      <c r="L1381" s="19">
        <f>[1]TOBEPAID!L1048/1000</f>
        <v>0</v>
      </c>
      <c r="M1381" s="19">
        <f>[1]TOBEPAID!M1048/1000</f>
        <v>0</v>
      </c>
      <c r="N1381" s="19">
        <f>[1]TOBEPAID!N1048/1000</f>
        <v>0</v>
      </c>
      <c r="O1381" s="19">
        <f>[1]TOBEPAID!O1048/1000</f>
        <v>0</v>
      </c>
      <c r="P1381" s="19">
        <f>[1]TOBEPAID!P1048/1000</f>
        <v>0</v>
      </c>
      <c r="Q1381" s="19">
        <f>[1]TOBEPAID!Q1048/1000</f>
        <v>0</v>
      </c>
      <c r="R1381" s="19">
        <v>0</v>
      </c>
      <c r="S1381" s="19">
        <f>[1]TOBEPAID!S1048/1000</f>
        <v>108.12775000000001</v>
      </c>
      <c r="T1381" s="19">
        <f>[1]TOBEPAID!T1048/1000</f>
        <v>0</v>
      </c>
      <c r="U1381" s="19">
        <f>[1]TOBEPAID!U1048/1000</f>
        <v>0</v>
      </c>
      <c r="V1381" s="19">
        <f>[1]TOBEPAID!V1048/1000</f>
        <v>0</v>
      </c>
      <c r="W1381" s="19">
        <f>[1]TOBEPAID!W1048/1000</f>
        <v>0</v>
      </c>
      <c r="X1381" s="19">
        <f>[1]TOBEPAID!X1048/1000</f>
        <v>0</v>
      </c>
      <c r="Y1381" s="19">
        <f>+H1381+R1381</f>
        <v>0</v>
      </c>
      <c r="Z1381" s="19">
        <f>+D1381-Y1381</f>
        <v>1393.1210000000001</v>
      </c>
      <c r="AA1381" s="19">
        <f>[1]TOBEPAID!AA1048/1000</f>
        <v>0</v>
      </c>
      <c r="AB1381" s="19">
        <f>[1]TOBEPAID!AB1048/1000</f>
        <v>1393.1211499999999</v>
      </c>
      <c r="AC1381" s="19"/>
      <c r="AD1381" s="19"/>
      <c r="AF1381" s="34"/>
      <c r="AG1381" s="34"/>
      <c r="AH1381" s="34"/>
      <c r="AI1381" s="34"/>
      <c r="AJ1381" s="34"/>
      <c r="AK1381" s="34"/>
      <c r="AL1381" s="34"/>
      <c r="AM1381" s="34"/>
      <c r="AN1381" s="34"/>
      <c r="AO1381" s="34"/>
      <c r="AP1381" s="34"/>
      <c r="AQ1381" s="34"/>
      <c r="AR1381" s="34"/>
      <c r="AS1381" s="34"/>
    </row>
    <row r="1382" spans="1:45" x14ac:dyDescent="0.2">
      <c r="A1382" s="18"/>
      <c r="C1382" s="20" t="s">
        <v>52</v>
      </c>
      <c r="D1382" s="19">
        <f>38839/1000</f>
        <v>38.838999999999999</v>
      </c>
      <c r="E1382" s="19">
        <f>[1]TOBEPAID!E1049/1000</f>
        <v>38.839849999999998</v>
      </c>
      <c r="F1382" s="19">
        <f>[1]TOBEPAID!F1049/1000</f>
        <v>0</v>
      </c>
      <c r="G1382" s="19">
        <f>[1]TOBEPAID!G1049/1000</f>
        <v>0</v>
      </c>
      <c r="H1382" s="19">
        <f>38839/1000</f>
        <v>38.838999999999999</v>
      </c>
      <c r="I1382" s="19">
        <f>[1]TOBEPAID!I1049/1000</f>
        <v>0</v>
      </c>
      <c r="J1382" s="19">
        <f>[1]TOBEPAID!J1049/1000</f>
        <v>0</v>
      </c>
      <c r="K1382" s="19">
        <f>[1]TOBEPAID!K1049/1000</f>
        <v>0</v>
      </c>
      <c r="L1382" s="19">
        <f>[1]TOBEPAID!L1049/1000</f>
        <v>0</v>
      </c>
      <c r="M1382" s="19">
        <f>[1]TOBEPAID!M1049/1000</f>
        <v>0</v>
      </c>
      <c r="N1382" s="19">
        <f>[1]TOBEPAID!N1049/1000</f>
        <v>38.839849999999998</v>
      </c>
      <c r="O1382" s="19">
        <f>[1]TOBEPAID!O1049/1000</f>
        <v>0</v>
      </c>
      <c r="P1382" s="19">
        <f>[1]TOBEPAID!P1049/1000</f>
        <v>0</v>
      </c>
      <c r="Q1382" s="19">
        <f>[1]TOBEPAID!Q1049/1000</f>
        <v>0</v>
      </c>
      <c r="R1382" s="19">
        <v>0</v>
      </c>
      <c r="S1382" s="19">
        <f>[1]TOBEPAID!S1049/1000</f>
        <v>0</v>
      </c>
      <c r="T1382" s="19">
        <f>[1]TOBEPAID!T1049/1000</f>
        <v>0</v>
      </c>
      <c r="U1382" s="19">
        <f>[1]TOBEPAID!U1049/1000</f>
        <v>0</v>
      </c>
      <c r="V1382" s="19">
        <f>[1]TOBEPAID!V1049/1000</f>
        <v>0</v>
      </c>
      <c r="W1382" s="19">
        <f>[1]TOBEPAID!W1049/1000</f>
        <v>0</v>
      </c>
      <c r="X1382" s="19">
        <f>[1]TOBEPAID!X1049/1000</f>
        <v>0</v>
      </c>
      <c r="Y1382" s="19">
        <f>+H1382+R1382</f>
        <v>38.838999999999999</v>
      </c>
      <c r="Z1382" s="19">
        <f>+D1382-Y1382</f>
        <v>0</v>
      </c>
      <c r="AA1382" s="19">
        <f>[1]TOBEPAID!AA1049/1000</f>
        <v>38.839849999999998</v>
      </c>
      <c r="AB1382" s="19">
        <f>[1]TOBEPAID!AB1049/1000</f>
        <v>0</v>
      </c>
      <c r="AC1382" s="19"/>
      <c r="AD1382" s="19"/>
      <c r="AF1382" s="34"/>
      <c r="AG1382" s="34"/>
      <c r="AH1382" s="34"/>
      <c r="AI1382" s="34"/>
      <c r="AJ1382" s="34"/>
      <c r="AK1382" s="34"/>
      <c r="AL1382" s="34"/>
      <c r="AM1382" s="34"/>
      <c r="AN1382" s="34"/>
      <c r="AO1382" s="34"/>
      <c r="AP1382" s="34"/>
      <c r="AQ1382" s="34"/>
      <c r="AR1382" s="34"/>
      <c r="AS1382" s="34"/>
    </row>
    <row r="1383" spans="1:45" x14ac:dyDescent="0.2">
      <c r="A1383" s="18"/>
      <c r="D1383" s="21" t="s">
        <v>57</v>
      </c>
      <c r="E1383" s="21" t="s">
        <v>57</v>
      </c>
      <c r="F1383" s="21" t="s">
        <v>57</v>
      </c>
      <c r="G1383" s="21"/>
      <c r="H1383" s="21" t="s">
        <v>57</v>
      </c>
      <c r="I1383" s="21" t="s">
        <v>57</v>
      </c>
      <c r="J1383" s="21" t="s">
        <v>57</v>
      </c>
      <c r="K1383" s="21" t="s">
        <v>57</v>
      </c>
      <c r="L1383" s="21" t="s">
        <v>57</v>
      </c>
      <c r="M1383" s="21"/>
      <c r="N1383" s="21" t="s">
        <v>57</v>
      </c>
      <c r="O1383" s="21" t="s">
        <v>57</v>
      </c>
      <c r="P1383" s="21" t="s">
        <v>57</v>
      </c>
      <c r="Q1383" s="21"/>
      <c r="R1383" s="21" t="s">
        <v>57</v>
      </c>
      <c r="S1383" s="21" t="s">
        <v>57</v>
      </c>
      <c r="T1383" s="21" t="s">
        <v>57</v>
      </c>
      <c r="U1383" s="21" t="s">
        <v>57</v>
      </c>
      <c r="V1383" s="21" t="s">
        <v>57</v>
      </c>
      <c r="W1383" s="21"/>
      <c r="X1383" s="21" t="s">
        <v>57</v>
      </c>
      <c r="Y1383" s="21" t="s">
        <v>57</v>
      </c>
      <c r="Z1383" s="21" t="s">
        <v>57</v>
      </c>
      <c r="AA1383" s="21" t="s">
        <v>57</v>
      </c>
      <c r="AB1383" s="21" t="s">
        <v>57</v>
      </c>
      <c r="AC1383" s="21"/>
      <c r="AD1383" s="21"/>
      <c r="AF1383" s="34"/>
      <c r="AG1383" s="34"/>
      <c r="AH1383" s="34"/>
      <c r="AI1383" s="34"/>
      <c r="AJ1383" s="34"/>
      <c r="AK1383" s="34"/>
      <c r="AL1383" s="34"/>
      <c r="AM1383" s="34"/>
      <c r="AN1383" s="34"/>
      <c r="AO1383" s="34"/>
      <c r="AP1383" s="34"/>
      <c r="AQ1383" s="34"/>
      <c r="AR1383" s="34"/>
      <c r="AS1383" s="34"/>
    </row>
    <row r="1384" spans="1:45" x14ac:dyDescent="0.2">
      <c r="A1384" s="18"/>
      <c r="D1384" s="19">
        <f>D1381+D1382</f>
        <v>1431.96</v>
      </c>
      <c r="E1384" s="19">
        <f>E1381+E1382</f>
        <v>38.839849999999998</v>
      </c>
      <c r="F1384" s="19">
        <f>F1381+F1382</f>
        <v>0</v>
      </c>
      <c r="G1384" s="19"/>
      <c r="H1384" s="19">
        <f>H1381+H1382</f>
        <v>38.838999999999999</v>
      </c>
      <c r="I1384" s="19">
        <f>I1381+I1382</f>
        <v>0</v>
      </c>
      <c r="J1384" s="19">
        <f>J1381+J1382</f>
        <v>0</v>
      </c>
      <c r="K1384" s="19">
        <f>K1381+K1382</f>
        <v>0</v>
      </c>
      <c r="L1384" s="19">
        <f>L1381+L1382</f>
        <v>0</v>
      </c>
      <c r="M1384" s="19"/>
      <c r="N1384" s="19">
        <f>N1381+N1382</f>
        <v>38.839849999999998</v>
      </c>
      <c r="O1384" s="19">
        <f>O1381+O1382</f>
        <v>0</v>
      </c>
      <c r="P1384" s="19">
        <f>P1381+P1382</f>
        <v>0</v>
      </c>
      <c r="Q1384" s="19"/>
      <c r="R1384" s="19">
        <f>R1381+R1382</f>
        <v>0</v>
      </c>
      <c r="S1384" s="19">
        <f>S1381+S1382</f>
        <v>108.12775000000001</v>
      </c>
      <c r="T1384" s="19">
        <f>T1381+T1382</f>
        <v>0</v>
      </c>
      <c r="U1384" s="19">
        <f>U1381+U1382</f>
        <v>0</v>
      </c>
      <c r="V1384" s="19">
        <f>V1381+V1382</f>
        <v>0</v>
      </c>
      <c r="W1384" s="19"/>
      <c r="X1384" s="19">
        <f>X1381+X1382</f>
        <v>0</v>
      </c>
      <c r="Y1384" s="19">
        <f>Y1381+Y1382</f>
        <v>38.838999999999999</v>
      </c>
      <c r="Z1384" s="19">
        <f>Z1381+Z1382</f>
        <v>1393.1210000000001</v>
      </c>
      <c r="AA1384" s="19">
        <f>AA1381+AA1382</f>
        <v>38.839849999999998</v>
      </c>
      <c r="AB1384" s="19">
        <f>AB1381+AB1382</f>
        <v>1393.1211499999999</v>
      </c>
      <c r="AC1384" s="19"/>
      <c r="AD1384" s="19"/>
      <c r="AF1384" s="34"/>
      <c r="AG1384" s="34"/>
      <c r="AH1384" s="34"/>
      <c r="AI1384" s="34"/>
      <c r="AJ1384" s="34"/>
      <c r="AK1384" s="34"/>
      <c r="AL1384" s="34"/>
      <c r="AM1384" s="34"/>
      <c r="AN1384" s="34"/>
      <c r="AO1384" s="34"/>
      <c r="AP1384" s="34"/>
      <c r="AQ1384" s="34"/>
      <c r="AR1384" s="34"/>
      <c r="AS1384" s="34"/>
    </row>
    <row r="1385" spans="1:45" x14ac:dyDescent="0.2">
      <c r="A1385" s="18"/>
      <c r="D1385" s="21" t="s">
        <v>57</v>
      </c>
      <c r="E1385" s="21" t="s">
        <v>57</v>
      </c>
      <c r="F1385" s="21" t="s">
        <v>57</v>
      </c>
      <c r="G1385" s="21"/>
      <c r="H1385" s="21" t="s">
        <v>57</v>
      </c>
      <c r="I1385" s="21" t="s">
        <v>57</v>
      </c>
      <c r="J1385" s="21" t="s">
        <v>57</v>
      </c>
      <c r="K1385" s="21" t="s">
        <v>57</v>
      </c>
      <c r="L1385" s="21" t="s">
        <v>57</v>
      </c>
      <c r="M1385" s="21"/>
      <c r="N1385" s="21" t="s">
        <v>57</v>
      </c>
      <c r="O1385" s="21" t="s">
        <v>57</v>
      </c>
      <c r="P1385" s="21" t="s">
        <v>57</v>
      </c>
      <c r="Q1385" s="21"/>
      <c r="R1385" s="21" t="s">
        <v>57</v>
      </c>
      <c r="S1385" s="21" t="s">
        <v>57</v>
      </c>
      <c r="T1385" s="21" t="s">
        <v>57</v>
      </c>
      <c r="U1385" s="21" t="s">
        <v>57</v>
      </c>
      <c r="V1385" s="21" t="s">
        <v>57</v>
      </c>
      <c r="W1385" s="21"/>
      <c r="X1385" s="21" t="s">
        <v>57</v>
      </c>
      <c r="Y1385" s="21" t="s">
        <v>57</v>
      </c>
      <c r="Z1385" s="21" t="s">
        <v>57</v>
      </c>
      <c r="AA1385" s="21" t="s">
        <v>57</v>
      </c>
      <c r="AB1385" s="21" t="s">
        <v>57</v>
      </c>
      <c r="AC1385" s="21"/>
      <c r="AD1385" s="21"/>
      <c r="AF1385" s="34"/>
      <c r="AG1385" s="34"/>
      <c r="AH1385" s="34"/>
      <c r="AI1385" s="34"/>
      <c r="AJ1385" s="34"/>
      <c r="AK1385" s="34"/>
      <c r="AL1385" s="34"/>
      <c r="AM1385" s="34"/>
      <c r="AN1385" s="34"/>
      <c r="AO1385" s="34"/>
      <c r="AP1385" s="34"/>
      <c r="AQ1385" s="34"/>
      <c r="AR1385" s="34"/>
      <c r="AS1385" s="34"/>
    </row>
    <row r="1386" spans="1:45" x14ac:dyDescent="0.2">
      <c r="A1386" s="18"/>
      <c r="D1386" s="21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  <c r="R1386" s="21"/>
      <c r="S1386" s="21"/>
      <c r="T1386" s="21"/>
      <c r="U1386" s="21"/>
      <c r="V1386" s="21"/>
      <c r="W1386" s="21"/>
      <c r="X1386" s="21"/>
      <c r="Y1386" s="21"/>
      <c r="Z1386" s="21"/>
      <c r="AA1386" s="21"/>
      <c r="AB1386" s="21"/>
      <c r="AC1386" s="21"/>
      <c r="AD1386" s="21"/>
      <c r="AF1386" s="34"/>
      <c r="AG1386" s="34"/>
      <c r="AH1386" s="34"/>
      <c r="AI1386" s="34"/>
      <c r="AJ1386" s="34"/>
      <c r="AK1386" s="34"/>
      <c r="AL1386" s="34"/>
      <c r="AM1386" s="34"/>
      <c r="AN1386" s="34"/>
      <c r="AO1386" s="34"/>
      <c r="AP1386" s="34"/>
      <c r="AQ1386" s="34"/>
      <c r="AR1386" s="34"/>
    </row>
    <row r="1387" spans="1:45" x14ac:dyDescent="0.2">
      <c r="A1387" s="18">
        <v>110</v>
      </c>
      <c r="B1387" s="17" t="s">
        <v>379</v>
      </c>
      <c r="C1387" s="17" t="s">
        <v>51</v>
      </c>
      <c r="D1387" s="19">
        <f>529367/1000</f>
        <v>529.36699999999996</v>
      </c>
      <c r="E1387" s="19">
        <f>[1]TOBEPAID!E1054/1000</f>
        <v>0</v>
      </c>
      <c r="F1387" s="19">
        <f>[1]TOBEPAID!F1054/1000</f>
        <v>0</v>
      </c>
      <c r="G1387" s="19">
        <f>[1]TOBEPAID!G1054/1000</f>
        <v>0</v>
      </c>
      <c r="H1387" s="19">
        <v>0</v>
      </c>
      <c r="I1387" s="19">
        <f>[1]TOBEPAID!I1054/1000</f>
        <v>0</v>
      </c>
      <c r="J1387" s="19">
        <f>[1]TOBEPAID!J1054/1000</f>
        <v>0</v>
      </c>
      <c r="K1387" s="19">
        <f>[1]TOBEPAID!K1054/1000</f>
        <v>0</v>
      </c>
      <c r="L1387" s="19">
        <f>[1]TOBEPAID!L1054/1000</f>
        <v>0</v>
      </c>
      <c r="M1387" s="19">
        <f>[1]TOBEPAID!M1054/1000</f>
        <v>0</v>
      </c>
      <c r="N1387" s="19">
        <f>[1]TOBEPAID!N1054/1000</f>
        <v>0</v>
      </c>
      <c r="O1387" s="19">
        <f>[1]TOBEPAID!O1054/1000</f>
        <v>0</v>
      </c>
      <c r="P1387" s="19">
        <f>[1]TOBEPAID!P1054/1000</f>
        <v>0</v>
      </c>
      <c r="Q1387" s="19">
        <f>[1]TOBEPAID!Q1054/1000</f>
        <v>0</v>
      </c>
      <c r="R1387" s="19">
        <v>0</v>
      </c>
      <c r="S1387" s="19">
        <f>[1]TOBEPAID!S1054/1000</f>
        <v>0</v>
      </c>
      <c r="T1387" s="19">
        <f>[1]TOBEPAID!T1054/1000</f>
        <v>0</v>
      </c>
      <c r="U1387" s="19">
        <f>[1]TOBEPAID!U1054/1000</f>
        <v>0</v>
      </c>
      <c r="V1387" s="19">
        <f>[1]TOBEPAID!V1054/1000</f>
        <v>0</v>
      </c>
      <c r="W1387" s="19">
        <f>[1]TOBEPAID!W1054/1000</f>
        <v>0</v>
      </c>
      <c r="X1387" s="19">
        <f>[1]TOBEPAID!X1054/1000</f>
        <v>0</v>
      </c>
      <c r="Y1387" s="19">
        <f>+H1387+R1387</f>
        <v>0</v>
      </c>
      <c r="Z1387" s="19">
        <f>+D1387-Y1387</f>
        <v>529.36699999999996</v>
      </c>
      <c r="AA1387" s="19">
        <f>[1]TOBEPAID!AA1054/1000</f>
        <v>0</v>
      </c>
      <c r="AB1387" s="19">
        <f>[1]TOBEPAID!AB1054/1000</f>
        <v>529.36709999999994</v>
      </c>
      <c r="AC1387" s="19"/>
      <c r="AD1387" s="19"/>
      <c r="AS1387" s="34"/>
    </row>
    <row r="1388" spans="1:45" x14ac:dyDescent="0.2">
      <c r="C1388" s="3" t="s">
        <v>197</v>
      </c>
      <c r="D1388" s="19">
        <v>0</v>
      </c>
      <c r="E1388" s="19">
        <f>[1]TOBEPAID!E1055/1000</f>
        <v>5590.00731</v>
      </c>
      <c r="F1388" s="19">
        <f>[1]TOBEPAID!F1055/1000</f>
        <v>0</v>
      </c>
      <c r="G1388" s="19">
        <f>[1]TOBEPAID!G1055/1000</f>
        <v>0</v>
      </c>
      <c r="H1388" s="19">
        <v>0</v>
      </c>
      <c r="I1388" s="19">
        <f>[1]TOBEPAID!I1055/1000</f>
        <v>0</v>
      </c>
      <c r="J1388" s="19">
        <f>[1]TOBEPAID!J1055/1000</f>
        <v>0</v>
      </c>
      <c r="K1388" s="19">
        <f>[1]TOBEPAID!K1055/1000</f>
        <v>0</v>
      </c>
      <c r="L1388" s="19">
        <f>[1]TOBEPAID!L1055/1000</f>
        <v>0</v>
      </c>
      <c r="M1388" s="19">
        <f>[1]TOBEPAID!M1055/1000</f>
        <v>0</v>
      </c>
      <c r="N1388" s="19">
        <f>[1]TOBEPAID!N1055/1000</f>
        <v>5590.00731</v>
      </c>
      <c r="O1388" s="19">
        <f>[1]TOBEPAID!O1055/1000</f>
        <v>0</v>
      </c>
      <c r="P1388" s="19">
        <f>[1]TOBEPAID!P1055/1000</f>
        <v>0</v>
      </c>
      <c r="Q1388" s="19">
        <f>[1]TOBEPAID!Q1055/1000</f>
        <v>0</v>
      </c>
      <c r="R1388" s="19">
        <v>0</v>
      </c>
      <c r="S1388" s="19">
        <f>[1]TOBEPAID!S1055/1000</f>
        <v>0</v>
      </c>
      <c r="T1388" s="19">
        <f>[1]TOBEPAID!T1055/1000</f>
        <v>0</v>
      </c>
      <c r="U1388" s="19">
        <f>[1]TOBEPAID!U1055/1000</f>
        <v>0</v>
      </c>
      <c r="V1388" s="19">
        <f>[1]TOBEPAID!V1055/1000</f>
        <v>0</v>
      </c>
      <c r="W1388" s="19">
        <f>[1]TOBEPAID!W1055/1000</f>
        <v>0</v>
      </c>
      <c r="X1388" s="19">
        <f>[1]TOBEPAID!X1055/1000</f>
        <v>0</v>
      </c>
      <c r="Y1388" s="19">
        <f>+H1388+R1388</f>
        <v>0</v>
      </c>
      <c r="Z1388" s="19">
        <f>+D1388-Y1388</f>
        <v>0</v>
      </c>
      <c r="AA1388" s="19">
        <f>[1]TOBEPAID!AA1055/1000</f>
        <v>5590.00731</v>
      </c>
      <c r="AB1388" s="19">
        <f>[1]TOBEPAID!AB1055/1000</f>
        <v>0</v>
      </c>
      <c r="AC1388" s="19"/>
      <c r="AD1388" s="19"/>
      <c r="AF1388" s="34"/>
      <c r="AG1388" s="34"/>
      <c r="AH1388" s="34"/>
      <c r="AI1388" s="34"/>
      <c r="AJ1388" s="34"/>
      <c r="AK1388" s="34"/>
      <c r="AL1388" s="34"/>
      <c r="AM1388" s="34"/>
      <c r="AN1388" s="34"/>
      <c r="AO1388" s="34"/>
      <c r="AP1388" s="34"/>
      <c r="AQ1388" s="34"/>
      <c r="AR1388" s="34"/>
      <c r="AS1388" s="34"/>
    </row>
    <row r="1389" spans="1:45" x14ac:dyDescent="0.2">
      <c r="A1389" s="18"/>
      <c r="D1389" s="21" t="s">
        <v>57</v>
      </c>
      <c r="E1389" s="21" t="s">
        <v>57</v>
      </c>
      <c r="F1389" s="21" t="s">
        <v>57</v>
      </c>
      <c r="G1389" s="21"/>
      <c r="H1389" s="21" t="s">
        <v>57</v>
      </c>
      <c r="I1389" s="21" t="s">
        <v>57</v>
      </c>
      <c r="J1389" s="21" t="s">
        <v>57</v>
      </c>
      <c r="K1389" s="21" t="s">
        <v>57</v>
      </c>
      <c r="L1389" s="21" t="s">
        <v>57</v>
      </c>
      <c r="M1389" s="21"/>
      <c r="N1389" s="21" t="s">
        <v>57</v>
      </c>
      <c r="O1389" s="21" t="s">
        <v>57</v>
      </c>
      <c r="P1389" s="21" t="s">
        <v>57</v>
      </c>
      <c r="Q1389" s="21"/>
      <c r="R1389" s="21" t="s">
        <v>57</v>
      </c>
      <c r="S1389" s="21" t="s">
        <v>57</v>
      </c>
      <c r="T1389" s="21" t="s">
        <v>57</v>
      </c>
      <c r="U1389" s="21" t="s">
        <v>57</v>
      </c>
      <c r="V1389" s="21" t="s">
        <v>57</v>
      </c>
      <c r="W1389" s="21"/>
      <c r="X1389" s="21" t="s">
        <v>57</v>
      </c>
      <c r="Y1389" s="21" t="s">
        <v>57</v>
      </c>
      <c r="Z1389" s="21" t="s">
        <v>57</v>
      </c>
      <c r="AA1389" s="21" t="s">
        <v>57</v>
      </c>
      <c r="AB1389" s="21" t="s">
        <v>57</v>
      </c>
      <c r="AC1389" s="21"/>
      <c r="AD1389" s="21"/>
      <c r="AF1389" s="34"/>
      <c r="AG1389" s="34"/>
      <c r="AH1389" s="34"/>
      <c r="AI1389" s="34"/>
      <c r="AJ1389" s="34"/>
      <c r="AK1389" s="34"/>
      <c r="AL1389" s="34"/>
      <c r="AM1389" s="34"/>
      <c r="AN1389" s="34"/>
      <c r="AO1389" s="34"/>
      <c r="AP1389" s="34"/>
      <c r="AQ1389" s="34"/>
      <c r="AR1389" s="34"/>
      <c r="AS1389" s="34"/>
    </row>
    <row r="1390" spans="1:45" x14ac:dyDescent="0.2">
      <c r="A1390" s="18"/>
      <c r="D1390" s="19">
        <f>+D1387+D1388</f>
        <v>529.36699999999996</v>
      </c>
      <c r="E1390" s="19">
        <f>+E1387+E1388</f>
        <v>5590.00731</v>
      </c>
      <c r="F1390" s="19">
        <f>+F1387+F1388</f>
        <v>0</v>
      </c>
      <c r="G1390" s="19"/>
      <c r="H1390" s="19">
        <f>+H1387+H1388</f>
        <v>0</v>
      </c>
      <c r="I1390" s="19">
        <f>+I1387+I1388</f>
        <v>0</v>
      </c>
      <c r="J1390" s="19">
        <f>+J1387+J1388</f>
        <v>0</v>
      </c>
      <c r="K1390" s="19">
        <f>+K1387+K1388</f>
        <v>0</v>
      </c>
      <c r="L1390" s="19">
        <f>+L1387+L1388</f>
        <v>0</v>
      </c>
      <c r="M1390" s="19"/>
      <c r="N1390" s="19">
        <f>+N1387+N1388</f>
        <v>5590.00731</v>
      </c>
      <c r="O1390" s="19">
        <f>+O1387+O1388</f>
        <v>0</v>
      </c>
      <c r="P1390" s="19">
        <f>+P1387+P1388</f>
        <v>0</v>
      </c>
      <c r="Q1390" s="19"/>
      <c r="R1390" s="19">
        <f>+R1387+R1388</f>
        <v>0</v>
      </c>
      <c r="S1390" s="19">
        <f>+S1387+S1388</f>
        <v>0</v>
      </c>
      <c r="T1390" s="19">
        <f>+T1387+T1388</f>
        <v>0</v>
      </c>
      <c r="U1390" s="19">
        <f>+U1387+U1388</f>
        <v>0</v>
      </c>
      <c r="V1390" s="19">
        <f>+V1387+V1388</f>
        <v>0</v>
      </c>
      <c r="W1390" s="19"/>
      <c r="X1390" s="19">
        <f>+X1387+X1388</f>
        <v>0</v>
      </c>
      <c r="Y1390" s="19">
        <f>+Y1387+Y1388</f>
        <v>0</v>
      </c>
      <c r="Z1390" s="19">
        <f>+Z1387+Z1388</f>
        <v>529.36699999999996</v>
      </c>
      <c r="AA1390" s="19">
        <f>+AA1387+AA1388</f>
        <v>5590.00731</v>
      </c>
      <c r="AB1390" s="19">
        <f>+AB1387+AB1388</f>
        <v>529.36709999999994</v>
      </c>
      <c r="AC1390" s="19"/>
      <c r="AD1390" s="19"/>
      <c r="AF1390" s="34"/>
      <c r="AG1390" s="34"/>
      <c r="AH1390" s="34"/>
      <c r="AI1390" s="34"/>
      <c r="AJ1390" s="34"/>
      <c r="AK1390" s="34"/>
      <c r="AL1390" s="34"/>
      <c r="AM1390" s="34"/>
      <c r="AN1390" s="34"/>
      <c r="AO1390" s="34"/>
      <c r="AP1390" s="34"/>
      <c r="AQ1390" s="34"/>
      <c r="AR1390" s="34"/>
      <c r="AS1390" s="34"/>
    </row>
    <row r="1391" spans="1:45" x14ac:dyDescent="0.2">
      <c r="A1391" s="18"/>
      <c r="D1391" s="21" t="s">
        <v>57</v>
      </c>
      <c r="E1391" s="21" t="s">
        <v>57</v>
      </c>
      <c r="F1391" s="21" t="s">
        <v>57</v>
      </c>
      <c r="G1391" s="21"/>
      <c r="H1391" s="21" t="s">
        <v>57</v>
      </c>
      <c r="I1391" s="21" t="s">
        <v>57</v>
      </c>
      <c r="J1391" s="21" t="s">
        <v>57</v>
      </c>
      <c r="K1391" s="21" t="s">
        <v>57</v>
      </c>
      <c r="L1391" s="21" t="s">
        <v>57</v>
      </c>
      <c r="M1391" s="21"/>
      <c r="N1391" s="21" t="s">
        <v>57</v>
      </c>
      <c r="O1391" s="21" t="s">
        <v>57</v>
      </c>
      <c r="P1391" s="21" t="s">
        <v>57</v>
      </c>
      <c r="Q1391" s="21"/>
      <c r="R1391" s="21" t="s">
        <v>57</v>
      </c>
      <c r="S1391" s="21" t="s">
        <v>57</v>
      </c>
      <c r="T1391" s="21" t="s">
        <v>57</v>
      </c>
      <c r="U1391" s="21" t="s">
        <v>57</v>
      </c>
      <c r="V1391" s="21" t="s">
        <v>57</v>
      </c>
      <c r="W1391" s="21"/>
      <c r="X1391" s="21" t="s">
        <v>57</v>
      </c>
      <c r="Y1391" s="21" t="s">
        <v>57</v>
      </c>
      <c r="Z1391" s="21" t="s">
        <v>57</v>
      </c>
      <c r="AA1391" s="21" t="s">
        <v>57</v>
      </c>
      <c r="AB1391" s="21" t="s">
        <v>57</v>
      </c>
      <c r="AC1391" s="21"/>
      <c r="AD1391" s="21"/>
      <c r="AF1391" s="34"/>
      <c r="AG1391" s="34"/>
      <c r="AH1391" s="34"/>
      <c r="AI1391" s="34"/>
      <c r="AJ1391" s="34"/>
      <c r="AK1391" s="34"/>
      <c r="AL1391" s="34"/>
      <c r="AM1391" s="34"/>
      <c r="AN1391" s="34"/>
      <c r="AO1391" s="34"/>
      <c r="AP1391" s="34"/>
      <c r="AQ1391" s="34"/>
      <c r="AR1391" s="34"/>
      <c r="AS1391" s="34"/>
    </row>
    <row r="1392" spans="1:45" x14ac:dyDescent="0.2">
      <c r="A1392" s="18"/>
      <c r="D1392" s="21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  <c r="R1392" s="21"/>
      <c r="S1392" s="21"/>
      <c r="T1392" s="21"/>
      <c r="U1392" s="21"/>
      <c r="V1392" s="21"/>
      <c r="W1392" s="21"/>
      <c r="X1392" s="21"/>
      <c r="Y1392" s="21"/>
      <c r="Z1392" s="21"/>
      <c r="AA1392" s="21"/>
      <c r="AB1392" s="21"/>
      <c r="AC1392" s="21"/>
      <c r="AD1392" s="21"/>
      <c r="AF1392" s="34"/>
      <c r="AG1392" s="34"/>
      <c r="AH1392" s="34"/>
      <c r="AI1392" s="34"/>
      <c r="AJ1392" s="34"/>
      <c r="AK1392" s="34"/>
      <c r="AL1392" s="34"/>
      <c r="AM1392" s="34"/>
      <c r="AN1392" s="34"/>
      <c r="AO1392" s="34"/>
      <c r="AP1392" s="34"/>
      <c r="AQ1392" s="34"/>
      <c r="AR1392" s="34"/>
      <c r="AS1392" s="34"/>
    </row>
    <row r="1393" spans="1:45" x14ac:dyDescent="0.2">
      <c r="A1393" s="18">
        <v>111</v>
      </c>
      <c r="B1393" s="20" t="s">
        <v>380</v>
      </c>
      <c r="C1393" s="20" t="s">
        <v>51</v>
      </c>
      <c r="D1393" s="19">
        <f>[1]TOBEPAID!D1060/1000</f>
        <v>0</v>
      </c>
      <c r="E1393" s="19">
        <f>[1]TOBEPAID!E1060/1000</f>
        <v>0</v>
      </c>
      <c r="F1393" s="19">
        <f>[1]TOBEPAID!F1060/1000</f>
        <v>0</v>
      </c>
      <c r="G1393" s="19">
        <f>[1]TOBEPAID!G1060/1000</f>
        <v>0</v>
      </c>
      <c r="H1393" s="19">
        <v>0</v>
      </c>
      <c r="I1393" s="19">
        <f>[1]TOBEPAID!I1060/1000</f>
        <v>0</v>
      </c>
      <c r="J1393" s="19">
        <f>[1]TOBEPAID!J1060/1000</f>
        <v>0</v>
      </c>
      <c r="K1393" s="19">
        <f>[1]TOBEPAID!K1060/1000</f>
        <v>0</v>
      </c>
      <c r="L1393" s="19">
        <f>[1]TOBEPAID!L1060/1000</f>
        <v>0</v>
      </c>
      <c r="M1393" s="19">
        <f>[1]TOBEPAID!M1060/1000</f>
        <v>0</v>
      </c>
      <c r="N1393" s="19">
        <f>[1]TOBEPAID!N1060/1000</f>
        <v>0</v>
      </c>
      <c r="O1393" s="19">
        <f>[1]TOBEPAID!O1060/1000</f>
        <v>2564.3158800000001</v>
      </c>
      <c r="P1393" s="19">
        <f>[1]TOBEPAID!P1060/1000</f>
        <v>0</v>
      </c>
      <c r="Q1393" s="19">
        <f>[1]TOBEPAID!Q1060/1000</f>
        <v>0</v>
      </c>
      <c r="R1393" s="19">
        <f>2528938.56/1000</f>
        <v>2528.9385600000001</v>
      </c>
      <c r="S1393" s="19">
        <f>[1]TOBEPAID!S1060/1000</f>
        <v>0</v>
      </c>
      <c r="T1393" s="19">
        <f>[1]TOBEPAID!T1060/1000</f>
        <v>0</v>
      </c>
      <c r="U1393" s="19">
        <f>[1]TOBEPAID!U1060/1000</f>
        <v>0</v>
      </c>
      <c r="V1393" s="19">
        <f>[1]TOBEPAID!V1060/1000</f>
        <v>0</v>
      </c>
      <c r="W1393" s="19">
        <f>[1]TOBEPAID!W1060/1000</f>
        <v>0</v>
      </c>
      <c r="X1393" s="19">
        <f>[1]TOBEPAID!X1060/1000</f>
        <v>2564.3158800000001</v>
      </c>
      <c r="Y1393" s="19">
        <f t="shared" ref="Y1393:Y1399" si="256">+H1393+R1393</f>
        <v>2528.9385600000001</v>
      </c>
      <c r="Z1393" s="19">
        <f t="shared" ref="Z1393:Z1399" si="257">+D1393-Y1393</f>
        <v>-2528.9385600000001</v>
      </c>
      <c r="AA1393" s="19">
        <f>[1]TOBEPAID!AA1060/1000</f>
        <v>2564.3158800000001</v>
      </c>
      <c r="AB1393" s="19">
        <f>[1]TOBEPAID!AB1060/1000</f>
        <v>-2564.3158800000001</v>
      </c>
      <c r="AC1393" s="19" t="s">
        <v>116</v>
      </c>
      <c r="AD1393" s="19"/>
      <c r="AF1393" s="34"/>
      <c r="AG1393" s="34"/>
      <c r="AH1393" s="34"/>
      <c r="AI1393" s="34"/>
      <c r="AJ1393" s="34"/>
      <c r="AK1393" s="34"/>
      <c r="AL1393" s="34"/>
      <c r="AM1393" s="34"/>
      <c r="AN1393" s="34"/>
      <c r="AO1393" s="34"/>
      <c r="AP1393" s="34"/>
      <c r="AQ1393" s="34"/>
      <c r="AR1393" s="34"/>
      <c r="AS1393" s="34"/>
    </row>
    <row r="1394" spans="1:45" x14ac:dyDescent="0.2">
      <c r="A1394" s="18"/>
      <c r="B1394" s="20"/>
      <c r="C1394" s="20" t="s">
        <v>381</v>
      </c>
      <c r="D1394" s="19">
        <f>40000000/1000</f>
        <v>40000</v>
      </c>
      <c r="E1394" s="19"/>
      <c r="F1394" s="19"/>
      <c r="G1394" s="19"/>
      <c r="H1394" s="19">
        <f>40000000/1000</f>
        <v>40000</v>
      </c>
      <c r="I1394" s="19"/>
      <c r="J1394" s="19"/>
      <c r="K1394" s="19"/>
      <c r="L1394" s="19"/>
      <c r="M1394" s="19"/>
      <c r="N1394" s="19"/>
      <c r="O1394" s="19"/>
      <c r="P1394" s="19"/>
      <c r="Q1394" s="19"/>
      <c r="R1394" s="19">
        <v>0</v>
      </c>
      <c r="S1394" s="19"/>
      <c r="T1394" s="19"/>
      <c r="U1394" s="19"/>
      <c r="V1394" s="19"/>
      <c r="W1394" s="19"/>
      <c r="X1394" s="19"/>
      <c r="Y1394" s="19">
        <f t="shared" si="256"/>
        <v>40000</v>
      </c>
      <c r="Z1394" s="19">
        <f t="shared" si="257"/>
        <v>0</v>
      </c>
      <c r="AA1394" s="19"/>
      <c r="AB1394" s="19"/>
      <c r="AC1394" s="19"/>
      <c r="AD1394" s="19"/>
      <c r="AF1394" s="34"/>
      <c r="AG1394" s="34"/>
      <c r="AH1394" s="34"/>
      <c r="AI1394" s="34"/>
      <c r="AJ1394" s="34"/>
      <c r="AK1394" s="34"/>
      <c r="AL1394" s="34"/>
      <c r="AM1394" s="34"/>
      <c r="AN1394" s="34"/>
      <c r="AO1394" s="34"/>
      <c r="AP1394" s="34"/>
      <c r="AQ1394" s="34"/>
      <c r="AR1394" s="34"/>
      <c r="AS1394" s="34"/>
    </row>
    <row r="1395" spans="1:45" x14ac:dyDescent="0.2">
      <c r="A1395" s="18"/>
      <c r="B1395" s="20"/>
      <c r="C1395" s="20" t="s">
        <v>382</v>
      </c>
      <c r="D1395" s="19">
        <f>284360.2/1000</f>
        <v>284.36020000000002</v>
      </c>
      <c r="E1395" s="19"/>
      <c r="F1395" s="19"/>
      <c r="G1395" s="19"/>
      <c r="H1395" s="19">
        <v>0</v>
      </c>
      <c r="I1395" s="19"/>
      <c r="J1395" s="19"/>
      <c r="K1395" s="19"/>
      <c r="L1395" s="19"/>
      <c r="M1395" s="19"/>
      <c r="N1395" s="19"/>
      <c r="O1395" s="19"/>
      <c r="P1395" s="19"/>
      <c r="Q1395" s="19"/>
      <c r="R1395" s="19">
        <f>284360.2/1000</f>
        <v>284.36020000000002</v>
      </c>
      <c r="S1395" s="19"/>
      <c r="T1395" s="19"/>
      <c r="U1395" s="19"/>
      <c r="V1395" s="19"/>
      <c r="W1395" s="19"/>
      <c r="X1395" s="19"/>
      <c r="Y1395" s="19">
        <f t="shared" si="256"/>
        <v>284.36020000000002</v>
      </c>
      <c r="Z1395" s="19">
        <f t="shared" si="257"/>
        <v>0</v>
      </c>
      <c r="AA1395" s="19"/>
      <c r="AB1395" s="19"/>
      <c r="AC1395" s="19"/>
      <c r="AD1395" s="19"/>
      <c r="AF1395" s="34"/>
      <c r="AG1395" s="34"/>
      <c r="AH1395" s="34"/>
      <c r="AI1395" s="34"/>
      <c r="AJ1395" s="34"/>
      <c r="AK1395" s="34"/>
      <c r="AL1395" s="34"/>
      <c r="AM1395" s="34"/>
      <c r="AN1395" s="34"/>
      <c r="AO1395" s="34"/>
      <c r="AP1395" s="34"/>
      <c r="AQ1395" s="34"/>
      <c r="AR1395" s="34"/>
      <c r="AS1395" s="34"/>
    </row>
    <row r="1396" spans="1:45" x14ac:dyDescent="0.2">
      <c r="A1396" s="18"/>
      <c r="B1396" s="20"/>
      <c r="C1396" s="20" t="s">
        <v>383</v>
      </c>
      <c r="D1396" s="19">
        <f>972000/1000</f>
        <v>972</v>
      </c>
      <c r="E1396" s="19"/>
      <c r="F1396" s="19"/>
      <c r="G1396" s="19"/>
      <c r="H1396" s="19">
        <f>972000/1000</f>
        <v>972</v>
      </c>
      <c r="I1396" s="19"/>
      <c r="J1396" s="19"/>
      <c r="K1396" s="19"/>
      <c r="L1396" s="19"/>
      <c r="M1396" s="19"/>
      <c r="N1396" s="19"/>
      <c r="O1396" s="19"/>
      <c r="P1396" s="19"/>
      <c r="Q1396" s="19"/>
      <c r="R1396" s="19">
        <v>0</v>
      </c>
      <c r="S1396" s="19"/>
      <c r="T1396" s="19"/>
      <c r="U1396" s="19"/>
      <c r="V1396" s="19"/>
      <c r="W1396" s="19"/>
      <c r="X1396" s="19"/>
      <c r="Y1396" s="19">
        <f t="shared" si="256"/>
        <v>972</v>
      </c>
      <c r="Z1396" s="19">
        <f t="shared" si="257"/>
        <v>0</v>
      </c>
      <c r="AA1396" s="19"/>
      <c r="AB1396" s="19"/>
      <c r="AC1396" s="19"/>
      <c r="AD1396" s="19"/>
      <c r="AF1396" s="34"/>
      <c r="AG1396" s="34"/>
      <c r="AH1396" s="34"/>
      <c r="AI1396" s="34"/>
      <c r="AJ1396" s="34"/>
      <c r="AK1396" s="34"/>
      <c r="AL1396" s="34"/>
      <c r="AM1396" s="34"/>
      <c r="AN1396" s="34"/>
      <c r="AO1396" s="34"/>
      <c r="AP1396" s="34"/>
      <c r="AQ1396" s="34"/>
      <c r="AR1396" s="34"/>
      <c r="AS1396" s="34"/>
    </row>
    <row r="1397" spans="1:45" x14ac:dyDescent="0.2">
      <c r="A1397" s="18"/>
      <c r="B1397" s="20"/>
      <c r="C1397" s="20" t="s">
        <v>384</v>
      </c>
      <c r="D1397" s="19">
        <f>28962000/1000</f>
        <v>28962</v>
      </c>
      <c r="E1397" s="19"/>
      <c r="F1397" s="19"/>
      <c r="G1397" s="19"/>
      <c r="H1397" s="19">
        <f>28961676.51/1000</f>
        <v>28961.676510000001</v>
      </c>
      <c r="I1397" s="19"/>
      <c r="J1397" s="19"/>
      <c r="K1397" s="19"/>
      <c r="L1397" s="19"/>
      <c r="M1397" s="19"/>
      <c r="N1397" s="19"/>
      <c r="O1397" s="19"/>
      <c r="P1397" s="19"/>
      <c r="Q1397" s="19"/>
      <c r="R1397" s="19">
        <v>0</v>
      </c>
      <c r="S1397" s="19"/>
      <c r="T1397" s="19"/>
      <c r="U1397" s="19"/>
      <c r="V1397" s="19"/>
      <c r="W1397" s="19"/>
      <c r="X1397" s="19"/>
      <c r="Y1397" s="19">
        <f>+H1397+R1397</f>
        <v>28961.676510000001</v>
      </c>
      <c r="Z1397" s="19">
        <f t="shared" si="257"/>
        <v>0.32348999999885564</v>
      </c>
      <c r="AA1397" s="19"/>
      <c r="AB1397" s="19"/>
      <c r="AC1397" s="19"/>
      <c r="AD1397" s="19"/>
      <c r="AF1397" s="34"/>
      <c r="AG1397" s="34"/>
      <c r="AH1397" s="34"/>
      <c r="AI1397" s="34"/>
      <c r="AJ1397" s="34"/>
      <c r="AK1397" s="34"/>
      <c r="AL1397" s="34"/>
      <c r="AM1397" s="34"/>
      <c r="AN1397" s="34"/>
      <c r="AO1397" s="34"/>
      <c r="AP1397" s="34"/>
      <c r="AQ1397" s="34"/>
      <c r="AR1397" s="34"/>
      <c r="AS1397" s="34"/>
    </row>
    <row r="1398" spans="1:45" x14ac:dyDescent="0.2">
      <c r="A1398" s="18"/>
      <c r="C1398" s="20" t="s">
        <v>52</v>
      </c>
      <c r="D1398" s="19">
        <f>2297834/1000</f>
        <v>2297.8339999999998</v>
      </c>
      <c r="E1398" s="19">
        <f>[1]TOBEPAID!E1061/1000</f>
        <v>2297.8340800000001</v>
      </c>
      <c r="F1398" s="19">
        <f>[1]TOBEPAID!F1061/1000</f>
        <v>0</v>
      </c>
      <c r="G1398" s="19">
        <f>[1]TOBEPAID!G1061/1000</f>
        <v>0</v>
      </c>
      <c r="H1398" s="19">
        <f>2297834/1000</f>
        <v>2297.8339999999998</v>
      </c>
      <c r="I1398" s="19">
        <f>[1]TOBEPAID!I1061/1000</f>
        <v>0</v>
      </c>
      <c r="J1398" s="19">
        <f>[1]TOBEPAID!J1061/1000</f>
        <v>0</v>
      </c>
      <c r="K1398" s="19">
        <f>[1]TOBEPAID!K1061/1000</f>
        <v>0</v>
      </c>
      <c r="L1398" s="19">
        <f>[1]TOBEPAID!L1061/1000</f>
        <v>0</v>
      </c>
      <c r="M1398" s="19">
        <f>[1]TOBEPAID!M1061/1000</f>
        <v>0</v>
      </c>
      <c r="N1398" s="19">
        <f>[1]TOBEPAID!N1061/1000</f>
        <v>2297.8340800000001</v>
      </c>
      <c r="O1398" s="19">
        <f>[1]TOBEPAID!O1061/1000</f>
        <v>0</v>
      </c>
      <c r="P1398" s="19">
        <f>[1]TOBEPAID!P1061/1000</f>
        <v>0</v>
      </c>
      <c r="Q1398" s="19">
        <f>[1]TOBEPAID!Q1061/1000</f>
        <v>0</v>
      </c>
      <c r="R1398" s="19">
        <v>0</v>
      </c>
      <c r="S1398" s="19">
        <f>[1]TOBEPAID!S1061/1000</f>
        <v>0</v>
      </c>
      <c r="T1398" s="19">
        <f>[1]TOBEPAID!T1061/1000</f>
        <v>0</v>
      </c>
      <c r="U1398" s="19">
        <f>[1]TOBEPAID!U1061/1000</f>
        <v>0</v>
      </c>
      <c r="V1398" s="19">
        <f>[1]TOBEPAID!V1061/1000</f>
        <v>0</v>
      </c>
      <c r="W1398" s="19">
        <f>[1]TOBEPAID!W1061/1000</f>
        <v>0</v>
      </c>
      <c r="X1398" s="19">
        <f>[1]TOBEPAID!X1061/1000</f>
        <v>0</v>
      </c>
      <c r="Y1398" s="19">
        <f t="shared" si="256"/>
        <v>2297.8339999999998</v>
      </c>
      <c r="Z1398" s="19">
        <f t="shared" si="257"/>
        <v>0</v>
      </c>
      <c r="AA1398" s="19">
        <f>[1]TOBEPAID!AA1061/1000</f>
        <v>2297.8340800000001</v>
      </c>
      <c r="AB1398" s="19">
        <f>[1]TOBEPAID!AB1061/1000</f>
        <v>0</v>
      </c>
      <c r="AC1398" s="19"/>
      <c r="AD1398" s="19"/>
      <c r="AF1398" s="34"/>
      <c r="AG1398" s="34"/>
      <c r="AH1398" s="34"/>
      <c r="AI1398" s="34"/>
      <c r="AJ1398" s="34"/>
      <c r="AK1398" s="34"/>
      <c r="AL1398" s="34"/>
      <c r="AM1398" s="34"/>
      <c r="AN1398" s="34"/>
      <c r="AO1398" s="34"/>
      <c r="AP1398" s="34"/>
      <c r="AQ1398" s="34"/>
      <c r="AR1398" s="34"/>
      <c r="AS1398" s="34"/>
    </row>
    <row r="1399" spans="1:45" x14ac:dyDescent="0.2">
      <c r="A1399" s="18"/>
      <c r="C1399" s="20" t="s">
        <v>70</v>
      </c>
      <c r="D1399" s="19">
        <f>17250000/1000</f>
        <v>17250</v>
      </c>
      <c r="E1399" s="19">
        <f>[1]TOBEPAID!E1062/1000</f>
        <v>17250</v>
      </c>
      <c r="F1399" s="19">
        <f>[1]TOBEPAID!F1062/1000</f>
        <v>0</v>
      </c>
      <c r="G1399" s="19">
        <f>[1]TOBEPAID!G1062/1000</f>
        <v>0</v>
      </c>
      <c r="H1399" s="19">
        <f>17250000/1000</f>
        <v>17250</v>
      </c>
      <c r="I1399" s="19">
        <f>[1]TOBEPAID!I1062/1000</f>
        <v>0</v>
      </c>
      <c r="J1399" s="19">
        <f>[1]TOBEPAID!J1062/1000</f>
        <v>0</v>
      </c>
      <c r="K1399" s="19">
        <f>[1]TOBEPAID!K1062/1000</f>
        <v>0</v>
      </c>
      <c r="L1399" s="19">
        <f>[1]TOBEPAID!L1062/1000</f>
        <v>0</v>
      </c>
      <c r="M1399" s="19">
        <f>[1]TOBEPAID!M1062/1000</f>
        <v>0</v>
      </c>
      <c r="N1399" s="19">
        <f>[1]TOBEPAID!N1062/1000</f>
        <v>17250</v>
      </c>
      <c r="O1399" s="19">
        <f>[1]TOBEPAID!O1062/1000</f>
        <v>0</v>
      </c>
      <c r="P1399" s="19">
        <f>[1]TOBEPAID!P1062/1000</f>
        <v>0</v>
      </c>
      <c r="Q1399" s="19">
        <f>[1]TOBEPAID!Q1062/1000</f>
        <v>0</v>
      </c>
      <c r="R1399" s="19">
        <v>0</v>
      </c>
      <c r="S1399" s="19">
        <f>[1]TOBEPAID!S1062/1000</f>
        <v>0</v>
      </c>
      <c r="T1399" s="19">
        <f>[1]TOBEPAID!T1062/1000</f>
        <v>0</v>
      </c>
      <c r="U1399" s="19">
        <f>[1]TOBEPAID!U1062/1000</f>
        <v>0</v>
      </c>
      <c r="V1399" s="19">
        <f>[1]TOBEPAID!V1062/1000</f>
        <v>0</v>
      </c>
      <c r="W1399" s="19">
        <f>[1]TOBEPAID!W1062/1000</f>
        <v>0</v>
      </c>
      <c r="X1399" s="19">
        <f>[1]TOBEPAID!X1062/1000</f>
        <v>0</v>
      </c>
      <c r="Y1399" s="19">
        <f t="shared" si="256"/>
        <v>17250</v>
      </c>
      <c r="Z1399" s="19">
        <f t="shared" si="257"/>
        <v>0</v>
      </c>
      <c r="AA1399" s="19">
        <f>[1]TOBEPAID!AA1062/1000</f>
        <v>17250</v>
      </c>
      <c r="AB1399" s="19">
        <f>[1]TOBEPAID!AB1062/1000</f>
        <v>0</v>
      </c>
      <c r="AC1399" s="19"/>
      <c r="AD1399" s="19"/>
      <c r="AF1399" s="34"/>
      <c r="AG1399" s="34"/>
      <c r="AH1399" s="34"/>
      <c r="AI1399" s="34"/>
      <c r="AJ1399" s="34"/>
      <c r="AK1399" s="34"/>
      <c r="AL1399" s="34"/>
      <c r="AM1399" s="34"/>
      <c r="AN1399" s="34"/>
      <c r="AO1399" s="34"/>
      <c r="AP1399" s="34"/>
      <c r="AQ1399" s="34"/>
      <c r="AR1399" s="34"/>
      <c r="AS1399" s="34"/>
    </row>
    <row r="1400" spans="1:45" x14ac:dyDescent="0.2">
      <c r="A1400" s="18"/>
      <c r="D1400" s="21" t="s">
        <v>57</v>
      </c>
      <c r="E1400" s="21" t="s">
        <v>57</v>
      </c>
      <c r="F1400" s="21" t="s">
        <v>57</v>
      </c>
      <c r="G1400" s="21"/>
      <c r="H1400" s="21" t="s">
        <v>57</v>
      </c>
      <c r="I1400" s="21" t="s">
        <v>57</v>
      </c>
      <c r="J1400" s="21" t="s">
        <v>57</v>
      </c>
      <c r="K1400" s="21" t="s">
        <v>57</v>
      </c>
      <c r="L1400" s="21" t="s">
        <v>57</v>
      </c>
      <c r="M1400" s="21"/>
      <c r="N1400" s="21" t="s">
        <v>57</v>
      </c>
      <c r="O1400" s="21" t="s">
        <v>57</v>
      </c>
      <c r="P1400" s="21" t="s">
        <v>57</v>
      </c>
      <c r="Q1400" s="21"/>
      <c r="R1400" s="21" t="s">
        <v>57</v>
      </c>
      <c r="S1400" s="21" t="s">
        <v>57</v>
      </c>
      <c r="T1400" s="21" t="s">
        <v>57</v>
      </c>
      <c r="U1400" s="21" t="s">
        <v>57</v>
      </c>
      <c r="V1400" s="21" t="s">
        <v>57</v>
      </c>
      <c r="W1400" s="21"/>
      <c r="X1400" s="21" t="s">
        <v>57</v>
      </c>
      <c r="Y1400" s="21" t="s">
        <v>57</v>
      </c>
      <c r="Z1400" s="21" t="s">
        <v>57</v>
      </c>
      <c r="AA1400" s="21" t="s">
        <v>57</v>
      </c>
      <c r="AB1400" s="21" t="s">
        <v>57</v>
      </c>
      <c r="AC1400" s="21"/>
      <c r="AD1400" s="21"/>
      <c r="AF1400" s="34"/>
      <c r="AG1400" s="34"/>
      <c r="AH1400" s="34"/>
      <c r="AI1400" s="34"/>
      <c r="AJ1400" s="34"/>
      <c r="AK1400" s="34"/>
      <c r="AL1400" s="34"/>
      <c r="AM1400" s="34"/>
      <c r="AN1400" s="34"/>
      <c r="AO1400" s="34"/>
      <c r="AP1400" s="34"/>
      <c r="AQ1400" s="34"/>
      <c r="AR1400" s="34"/>
      <c r="AS1400" s="34">
        <f t="shared" ref="AS1400:AS1412" si="258">+AF1401-AK1401-AP1401</f>
        <v>-5590.00731</v>
      </c>
    </row>
    <row r="1401" spans="1:45" x14ac:dyDescent="0.2">
      <c r="A1401" s="18"/>
      <c r="D1401" s="19">
        <f>SUM(D1393:D1399)</f>
        <v>89766.194199999998</v>
      </c>
      <c r="E1401" s="19">
        <f>SUM(E1393:E1399)</f>
        <v>19547.834080000001</v>
      </c>
      <c r="F1401" s="19">
        <f>SUM(F1393:F1399)</f>
        <v>0</v>
      </c>
      <c r="G1401" s="19"/>
      <c r="H1401" s="19">
        <f>SUM(H1393:H1399)</f>
        <v>89481.510510000007</v>
      </c>
      <c r="I1401" s="19">
        <f>SUM(I1393:I1399)</f>
        <v>0</v>
      </c>
      <c r="J1401" s="19">
        <f>SUM(J1393:J1399)</f>
        <v>0</v>
      </c>
      <c r="K1401" s="19">
        <f>SUM(K1393:K1399)</f>
        <v>0</v>
      </c>
      <c r="L1401" s="19">
        <f>SUM(L1393:L1399)</f>
        <v>0</v>
      </c>
      <c r="M1401" s="19"/>
      <c r="N1401" s="19">
        <f>SUM(N1393:N1399)</f>
        <v>19547.834080000001</v>
      </c>
      <c r="O1401" s="19">
        <f>SUM(O1393:O1399)</f>
        <v>2564.3158800000001</v>
      </c>
      <c r="P1401" s="19">
        <f>SUM(P1393:P1399)</f>
        <v>0</v>
      </c>
      <c r="Q1401" s="19"/>
      <c r="R1401" s="19">
        <f>SUM(R1393:R1399)</f>
        <v>2813.2987600000001</v>
      </c>
      <c r="S1401" s="19">
        <f>SUM(S1393:S1399)</f>
        <v>0</v>
      </c>
      <c r="T1401" s="19">
        <f>SUM(T1393:T1399)</f>
        <v>0</v>
      </c>
      <c r="U1401" s="19">
        <f>SUM(U1393:U1399)</f>
        <v>0</v>
      </c>
      <c r="V1401" s="19">
        <f>SUM(V1393:V1399)</f>
        <v>0</v>
      </c>
      <c r="W1401" s="19"/>
      <c r="X1401" s="19">
        <f>SUM(X1393:X1399)</f>
        <v>2564.3158800000001</v>
      </c>
      <c r="Y1401" s="19">
        <f>SUM(Y1393:Y1399)</f>
        <v>92294.809270000012</v>
      </c>
      <c r="Z1401" s="19">
        <f>SUM(Z1393:Z1399)</f>
        <v>-2528.6150700000012</v>
      </c>
      <c r="AA1401" s="19">
        <f>SUM(AA1393:AA1399)</f>
        <v>22112.149960000002</v>
      </c>
      <c r="AB1401" s="19">
        <f>SUM(AB1393:AB1399)</f>
        <v>-2564.3158800000001</v>
      </c>
      <c r="AC1401" s="19"/>
      <c r="AD1401" s="19"/>
      <c r="AF1401" s="34">
        <f>+D1388</f>
        <v>0</v>
      </c>
      <c r="AG1401" s="34">
        <f>+E1388</f>
        <v>5590.00731</v>
      </c>
      <c r="AH1401" s="34">
        <f>+F1388</f>
        <v>0</v>
      </c>
      <c r="AI1401" s="34">
        <f>+AG1401+AH1401</f>
        <v>5590.00731</v>
      </c>
      <c r="AJ1401" s="34">
        <f>+L1388</f>
        <v>0</v>
      </c>
      <c r="AK1401" s="34">
        <f>+AI1401+AJ1401</f>
        <v>5590.00731</v>
      </c>
      <c r="AL1401" s="34">
        <f>+O1388</f>
        <v>0</v>
      </c>
      <c r="AM1401" s="34">
        <f>+P1388</f>
        <v>0</v>
      </c>
      <c r="AN1401" s="34">
        <f>+AL1401+AM1401</f>
        <v>0</v>
      </c>
      <c r="AO1401" s="34">
        <f>+V1388</f>
        <v>0</v>
      </c>
      <c r="AP1401" s="34">
        <f>+AN1387+AO1387</f>
        <v>0</v>
      </c>
      <c r="AQ1401" s="34">
        <f>+AI1401+AN1401</f>
        <v>5590.00731</v>
      </c>
      <c r="AR1401" s="34">
        <f>+Z1388</f>
        <v>0</v>
      </c>
      <c r="AS1401" s="34">
        <f t="shared" si="258"/>
        <v>0</v>
      </c>
    </row>
    <row r="1402" spans="1:45" x14ac:dyDescent="0.2">
      <c r="A1402" s="18"/>
      <c r="D1402" s="21" t="s">
        <v>57</v>
      </c>
      <c r="E1402" s="21" t="s">
        <v>57</v>
      </c>
      <c r="F1402" s="21" t="s">
        <v>57</v>
      </c>
      <c r="G1402" s="21"/>
      <c r="H1402" s="21" t="s">
        <v>57</v>
      </c>
      <c r="I1402" s="21" t="s">
        <v>57</v>
      </c>
      <c r="J1402" s="21" t="s">
        <v>57</v>
      </c>
      <c r="K1402" s="21" t="s">
        <v>57</v>
      </c>
      <c r="L1402" s="21" t="s">
        <v>57</v>
      </c>
      <c r="M1402" s="21"/>
      <c r="N1402" s="21" t="s">
        <v>57</v>
      </c>
      <c r="O1402" s="21" t="s">
        <v>57</v>
      </c>
      <c r="P1402" s="21" t="s">
        <v>57</v>
      </c>
      <c r="Q1402" s="21"/>
      <c r="R1402" s="21" t="s">
        <v>57</v>
      </c>
      <c r="S1402" s="21" t="s">
        <v>57</v>
      </c>
      <c r="T1402" s="21" t="s">
        <v>57</v>
      </c>
      <c r="U1402" s="21" t="s">
        <v>57</v>
      </c>
      <c r="V1402" s="21" t="s">
        <v>57</v>
      </c>
      <c r="W1402" s="21"/>
      <c r="X1402" s="21" t="s">
        <v>57</v>
      </c>
      <c r="Y1402" s="21" t="s">
        <v>57</v>
      </c>
      <c r="Z1402" s="21" t="s">
        <v>57</v>
      </c>
      <c r="AA1402" s="21" t="s">
        <v>57</v>
      </c>
      <c r="AB1402" s="21" t="s">
        <v>57</v>
      </c>
      <c r="AC1402" s="21"/>
      <c r="AD1402" s="21"/>
      <c r="AE1402" s="33" t="s">
        <v>197</v>
      </c>
      <c r="AF1402" s="34">
        <f>+D1364</f>
        <v>2000</v>
      </c>
      <c r="AG1402" s="34">
        <f>E1364</f>
        <v>0</v>
      </c>
      <c r="AH1402" s="34">
        <f>F1364</f>
        <v>0</v>
      </c>
      <c r="AI1402" s="34">
        <f>+AG1402+AH1402</f>
        <v>0</v>
      </c>
      <c r="AJ1402" s="34">
        <f>L1364</f>
        <v>0</v>
      </c>
      <c r="AK1402" s="34">
        <f>+AI1361</f>
        <v>0</v>
      </c>
      <c r="AL1402" s="34">
        <f>O1364</f>
        <v>2000</v>
      </c>
      <c r="AM1402" s="34">
        <f>P1364</f>
        <v>0</v>
      </c>
      <c r="AN1402" s="34">
        <f>+AL1402+AM1402</f>
        <v>2000</v>
      </c>
      <c r="AO1402" s="34">
        <f>V1364</f>
        <v>0</v>
      </c>
      <c r="AP1402" s="34">
        <f>+AN1402+AO1402</f>
        <v>2000</v>
      </c>
      <c r="AQ1402" s="34">
        <f t="shared" ref="AQ1402:AQ1413" si="259">+AI1402+AN1402</f>
        <v>2000</v>
      </c>
      <c r="AR1402" s="34">
        <f>+AF1361-AQ1361</f>
        <v>0</v>
      </c>
      <c r="AS1402" s="34" t="e">
        <f t="shared" si="258"/>
        <v>#VALUE!</v>
      </c>
    </row>
    <row r="1403" spans="1:45" ht="15.75" thickBot="1" x14ac:dyDescent="0.25">
      <c r="A1403" s="18"/>
      <c r="D1403" s="21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4">
        <f>532796.43+55960+1222692.05+589852.4</f>
        <v>2401300.88</v>
      </c>
      <c r="Q1403" s="55" t="s">
        <v>116</v>
      </c>
      <c r="R1403" s="55" t="s">
        <v>385</v>
      </c>
      <c r="S1403" s="21"/>
      <c r="T1403" s="21"/>
      <c r="U1403" s="21"/>
      <c r="V1403" s="48"/>
      <c r="W1403" s="21"/>
      <c r="X1403" s="21"/>
      <c r="Y1403" s="21"/>
      <c r="Z1403" s="21"/>
      <c r="AA1403" s="21"/>
      <c r="AB1403" s="21"/>
      <c r="AC1403" s="21"/>
      <c r="AD1403" s="21"/>
      <c r="AE1403" s="25" t="s">
        <v>374</v>
      </c>
      <c r="AF1403" s="34" t="e">
        <f>D1360+D1370+D1381+D1387+D1393+D1404</f>
        <v>#VALUE!</v>
      </c>
      <c r="AG1403" s="34" t="e">
        <f>E1360+E1370+E1381+E1387+E1393+E1404</f>
        <v>#VALUE!</v>
      </c>
      <c r="AH1403" s="34" t="e">
        <f>F1360+F1370+F1381+F1387+F1393+F1404</f>
        <v>#VALUE!</v>
      </c>
      <c r="AI1403" s="34" t="e">
        <f>+AG1403+AH1403</f>
        <v>#VALUE!</v>
      </c>
      <c r="AJ1403" s="34" t="e">
        <f>L1360+L1370+L1381+L1387+L1393+L1404</f>
        <v>#VALUE!</v>
      </c>
      <c r="AK1403" s="34" t="e">
        <f>+AI1403+AJ1403</f>
        <v>#VALUE!</v>
      </c>
      <c r="AL1403" s="34" t="e">
        <f>O1360+O1370+O1381+O1387+O1393+O1404</f>
        <v>#VALUE!</v>
      </c>
      <c r="AM1403" s="34" t="e">
        <f>P1360+P1370+P1381+P1387+P1393+P1404</f>
        <v>#VALUE!</v>
      </c>
      <c r="AN1403" s="34" t="e">
        <f>+AL1403+AM1403</f>
        <v>#VALUE!</v>
      </c>
      <c r="AO1403" s="34" t="e">
        <f>V1360+V1370+V1381+V1387+V1393+V1404</f>
        <v>#VALUE!</v>
      </c>
      <c r="AP1403" s="34" t="e">
        <f>+AN1403+AO1403</f>
        <v>#VALUE!</v>
      </c>
      <c r="AQ1403" s="34" t="e">
        <f t="shared" si="259"/>
        <v>#VALUE!</v>
      </c>
      <c r="AR1403" s="34" t="e">
        <f>+AF1403-AQ1403</f>
        <v>#VALUE!</v>
      </c>
      <c r="AS1403" s="34">
        <f t="shared" si="258"/>
        <v>0</v>
      </c>
    </row>
    <row r="1404" spans="1:45" ht="15.75" thickTop="1" x14ac:dyDescent="0.2">
      <c r="A1404" s="18"/>
      <c r="B1404" s="20"/>
      <c r="C1404" s="20"/>
      <c r="D1404" s="21" t="s">
        <v>57</v>
      </c>
      <c r="E1404" s="21" t="s">
        <v>57</v>
      </c>
      <c r="F1404" s="21" t="s">
        <v>57</v>
      </c>
      <c r="G1404" s="21"/>
      <c r="H1404" s="21" t="s">
        <v>57</v>
      </c>
      <c r="I1404" s="21" t="s">
        <v>57</v>
      </c>
      <c r="J1404" s="21" t="s">
        <v>57</v>
      </c>
      <c r="K1404" s="21" t="s">
        <v>57</v>
      </c>
      <c r="L1404" s="21" t="s">
        <v>57</v>
      </c>
      <c r="M1404" s="21"/>
      <c r="N1404" s="21" t="s">
        <v>57</v>
      </c>
      <c r="O1404" s="21" t="s">
        <v>57</v>
      </c>
      <c r="P1404" s="21" t="s">
        <v>57</v>
      </c>
      <c r="Q1404" s="21"/>
      <c r="R1404" s="21" t="s">
        <v>57</v>
      </c>
      <c r="S1404" s="21" t="s">
        <v>57</v>
      </c>
      <c r="T1404" s="21" t="s">
        <v>57</v>
      </c>
      <c r="U1404" s="21" t="s">
        <v>57</v>
      </c>
      <c r="V1404" s="21" t="s">
        <v>57</v>
      </c>
      <c r="W1404" s="21"/>
      <c r="X1404" s="21" t="s">
        <v>57</v>
      </c>
      <c r="Y1404" s="21" t="s">
        <v>57</v>
      </c>
      <c r="Z1404" s="21" t="s">
        <v>57</v>
      </c>
      <c r="AA1404" s="21" t="s">
        <v>57</v>
      </c>
      <c r="AB1404" s="21" t="s">
        <v>57</v>
      </c>
      <c r="AC1404" s="21"/>
      <c r="AD1404" s="19"/>
      <c r="AE1404" s="25"/>
      <c r="AF1404" s="34"/>
      <c r="AG1404" s="34"/>
      <c r="AH1404" s="34"/>
      <c r="AI1404" s="34"/>
      <c r="AJ1404" s="34"/>
      <c r="AK1404" s="34"/>
      <c r="AL1404" s="34"/>
      <c r="AM1404" s="34"/>
      <c r="AN1404" s="34"/>
      <c r="AO1404" s="34"/>
      <c r="AP1404" s="34"/>
      <c r="AQ1404" s="34"/>
      <c r="AR1404" s="34"/>
      <c r="AS1404" s="34"/>
    </row>
    <row r="1405" spans="1:45" x14ac:dyDescent="0.2">
      <c r="A1405" s="18"/>
      <c r="B1405" s="20"/>
      <c r="C1405" s="20"/>
      <c r="D1405" s="19"/>
      <c r="E1405" s="19"/>
      <c r="F1405" s="19"/>
      <c r="G1405" s="19"/>
      <c r="H1405" s="19"/>
      <c r="I1405" s="19"/>
      <c r="J1405" s="19"/>
      <c r="K1405" s="19"/>
      <c r="L1405" s="19"/>
      <c r="M1405" s="19"/>
      <c r="N1405" s="19"/>
      <c r="O1405" s="19"/>
      <c r="P1405" s="19"/>
      <c r="Q1405" s="19"/>
      <c r="R1405" s="19"/>
      <c r="S1405" s="19"/>
      <c r="T1405" s="19"/>
      <c r="U1405" s="19"/>
      <c r="V1405" s="19"/>
      <c r="W1405" s="19"/>
      <c r="X1405" s="19"/>
      <c r="Y1405" s="19"/>
      <c r="Z1405" s="19"/>
      <c r="AA1405" s="19"/>
      <c r="AB1405" s="19"/>
      <c r="AC1405" s="19"/>
      <c r="AD1405" s="19"/>
      <c r="AE1405" s="25"/>
      <c r="AF1405" s="34"/>
      <c r="AG1405" s="34"/>
      <c r="AH1405" s="34"/>
      <c r="AI1405" s="34"/>
      <c r="AJ1405" s="34"/>
      <c r="AK1405" s="34"/>
      <c r="AL1405" s="34"/>
      <c r="AM1405" s="34"/>
      <c r="AN1405" s="34"/>
      <c r="AO1405" s="34"/>
      <c r="AP1405" s="34"/>
      <c r="AQ1405" s="34"/>
      <c r="AR1405" s="34"/>
      <c r="AS1405" s="34"/>
    </row>
    <row r="1406" spans="1:45" x14ac:dyDescent="0.2">
      <c r="A1406" s="18"/>
      <c r="B1406" s="20"/>
      <c r="C1406" s="20"/>
      <c r="D1406" s="19"/>
      <c r="E1406" s="19"/>
      <c r="F1406" s="19"/>
      <c r="G1406" s="19"/>
      <c r="H1406" s="19"/>
      <c r="I1406" s="19"/>
      <c r="J1406" s="19"/>
      <c r="K1406" s="19"/>
      <c r="L1406" s="19"/>
      <c r="M1406" s="19"/>
      <c r="N1406" s="19"/>
      <c r="O1406" s="19"/>
      <c r="P1406" s="19"/>
      <c r="Q1406" s="19"/>
      <c r="R1406" s="19"/>
      <c r="S1406" s="19"/>
      <c r="T1406" s="19"/>
      <c r="U1406" s="19"/>
      <c r="V1406" s="19"/>
      <c r="W1406" s="19"/>
      <c r="X1406" s="19"/>
      <c r="Y1406" s="19"/>
      <c r="Z1406" s="19"/>
      <c r="AA1406" s="19"/>
      <c r="AB1406" s="19"/>
      <c r="AC1406" s="19"/>
      <c r="AD1406" s="19"/>
      <c r="AE1406" s="25"/>
      <c r="AF1406" s="34"/>
      <c r="AG1406" s="34"/>
      <c r="AH1406" s="34"/>
      <c r="AI1406" s="34"/>
      <c r="AJ1406" s="34"/>
      <c r="AK1406" s="34"/>
      <c r="AL1406" s="34"/>
      <c r="AM1406" s="34"/>
      <c r="AN1406" s="34"/>
      <c r="AO1406" s="34"/>
      <c r="AP1406" s="34"/>
      <c r="AQ1406" s="34"/>
      <c r="AR1406" s="34"/>
      <c r="AS1406" s="34"/>
    </row>
    <row r="1407" spans="1:45" x14ac:dyDescent="0.2">
      <c r="A1407" s="18"/>
      <c r="B1407" s="20"/>
      <c r="C1407" s="20"/>
      <c r="D1407" s="19"/>
      <c r="E1407" s="19"/>
      <c r="F1407" s="19"/>
      <c r="G1407" s="19"/>
      <c r="H1407" s="19"/>
      <c r="I1407" s="19"/>
      <c r="J1407" s="19"/>
      <c r="K1407" s="19"/>
      <c r="L1407" s="19"/>
      <c r="M1407" s="19"/>
      <c r="N1407" s="19"/>
      <c r="O1407" s="19"/>
      <c r="P1407" s="19"/>
      <c r="Q1407" s="19"/>
      <c r="R1407" s="19"/>
      <c r="S1407" s="19"/>
      <c r="T1407" s="19"/>
      <c r="U1407" s="19"/>
      <c r="V1407" s="19"/>
      <c r="W1407" s="19"/>
      <c r="X1407" s="19"/>
      <c r="Y1407" s="19"/>
      <c r="Z1407" s="19"/>
      <c r="AA1407" s="19"/>
      <c r="AB1407" s="19"/>
      <c r="AC1407" s="19"/>
      <c r="AD1407" s="19"/>
      <c r="AE1407" s="25"/>
      <c r="AF1407" s="34"/>
      <c r="AG1407" s="34"/>
      <c r="AH1407" s="34"/>
      <c r="AI1407" s="34"/>
      <c r="AJ1407" s="34"/>
      <c r="AK1407" s="34"/>
      <c r="AL1407" s="34"/>
      <c r="AM1407" s="34"/>
      <c r="AN1407" s="34"/>
      <c r="AO1407" s="34"/>
      <c r="AP1407" s="34"/>
      <c r="AQ1407" s="34"/>
      <c r="AR1407" s="34"/>
      <c r="AS1407" s="34"/>
    </row>
    <row r="1408" spans="1:45" x14ac:dyDescent="0.2">
      <c r="A1408" s="18">
        <v>112</v>
      </c>
      <c r="B1408" s="3" t="s">
        <v>386</v>
      </c>
      <c r="C1408" s="20" t="s">
        <v>85</v>
      </c>
      <c r="D1408" s="19">
        <f>16125463/1000</f>
        <v>16125.463</v>
      </c>
      <c r="E1408" s="19"/>
      <c r="F1408" s="19"/>
      <c r="G1408" s="19"/>
      <c r="H1408" s="19">
        <f>13395000/1000</f>
        <v>13395</v>
      </c>
      <c r="I1408" s="19"/>
      <c r="J1408" s="19"/>
      <c r="K1408" s="19"/>
      <c r="L1408" s="19"/>
      <c r="M1408" s="19"/>
      <c r="N1408" s="19"/>
      <c r="O1408" s="19"/>
      <c r="P1408" s="19"/>
      <c r="Q1408" s="19"/>
      <c r="R1408" s="19">
        <f>482000/1000</f>
        <v>482</v>
      </c>
      <c r="S1408" s="19"/>
      <c r="T1408" s="19"/>
      <c r="U1408" s="19"/>
      <c r="V1408" s="19"/>
      <c r="W1408" s="19"/>
      <c r="X1408" s="19"/>
      <c r="Y1408" s="19">
        <f>+H1408+R1408</f>
        <v>13877</v>
      </c>
      <c r="Z1408" s="19">
        <f>+D1408-Y1408</f>
        <v>2248.4629999999997</v>
      </c>
      <c r="AA1408" s="19"/>
      <c r="AB1408" s="19"/>
      <c r="AC1408" s="19"/>
      <c r="AD1408" s="19"/>
      <c r="AE1408" s="25"/>
      <c r="AF1408" s="34"/>
      <c r="AG1408" s="34"/>
      <c r="AH1408" s="34"/>
      <c r="AI1408" s="34"/>
      <c r="AJ1408" s="34"/>
      <c r="AK1408" s="34"/>
      <c r="AL1408" s="34"/>
      <c r="AM1408" s="34"/>
      <c r="AN1408" s="34"/>
      <c r="AO1408" s="34"/>
      <c r="AP1408" s="34"/>
      <c r="AQ1408" s="34"/>
      <c r="AR1408" s="34"/>
      <c r="AS1408" s="34"/>
    </row>
    <row r="1409" spans="1:45" x14ac:dyDescent="0.2">
      <c r="C1409" s="20" t="s">
        <v>52</v>
      </c>
      <c r="D1409" s="19">
        <f>2236989/1000</f>
        <v>2236.989</v>
      </c>
      <c r="E1409" s="19">
        <f>[1]TOBEPAID!E1068/1000</f>
        <v>2236.9895999999999</v>
      </c>
      <c r="F1409" s="19">
        <f>[1]TOBEPAID!F1068/1000</f>
        <v>0</v>
      </c>
      <c r="G1409" s="19">
        <f>[1]TOBEPAID!G1068/1000</f>
        <v>0</v>
      </c>
      <c r="H1409" s="19">
        <f>2236989/1000</f>
        <v>2236.989</v>
      </c>
      <c r="I1409" s="19">
        <f>[1]TOBEPAID!I1068/1000</f>
        <v>0</v>
      </c>
      <c r="J1409" s="19">
        <f>[1]TOBEPAID!J1068/1000</f>
        <v>0</v>
      </c>
      <c r="K1409" s="19">
        <f>[1]TOBEPAID!K1068/1000</f>
        <v>0</v>
      </c>
      <c r="L1409" s="19">
        <f>[1]TOBEPAID!L1068/1000</f>
        <v>0</v>
      </c>
      <c r="M1409" s="19">
        <f>[1]TOBEPAID!M1068/1000</f>
        <v>0</v>
      </c>
      <c r="N1409" s="19">
        <f>[1]TOBEPAID!N1068/1000</f>
        <v>2236.9895999999999</v>
      </c>
      <c r="O1409" s="19">
        <f>[1]TOBEPAID!O1068/1000</f>
        <v>0</v>
      </c>
      <c r="P1409" s="19">
        <f>[1]TOBEPAID!P1068/1000</f>
        <v>0</v>
      </c>
      <c r="Q1409" s="19">
        <f>[1]TOBEPAID!Q1068/1000</f>
        <v>0</v>
      </c>
      <c r="R1409" s="19">
        <v>0</v>
      </c>
      <c r="S1409" s="19">
        <f>[1]TOBEPAID!S1068/1000</f>
        <v>0</v>
      </c>
      <c r="T1409" s="19">
        <f>[1]TOBEPAID!T1068/1000</f>
        <v>0</v>
      </c>
      <c r="U1409" s="19">
        <f>[1]TOBEPAID!U1068/1000</f>
        <v>0</v>
      </c>
      <c r="V1409" s="19">
        <f>[1]TOBEPAID!V1068/1000</f>
        <v>0</v>
      </c>
      <c r="W1409" s="19">
        <f>[1]TOBEPAID!W1068/1000</f>
        <v>0</v>
      </c>
      <c r="X1409" s="19">
        <f>[1]TOBEPAID!X1068/1000</f>
        <v>0</v>
      </c>
      <c r="Y1409" s="19">
        <f>+H1409+R1409</f>
        <v>2236.989</v>
      </c>
      <c r="Z1409" s="19">
        <f>+D1409-Y1409</f>
        <v>0</v>
      </c>
      <c r="AA1409" s="19">
        <f>[1]TOBEPAID!AA1068/1000</f>
        <v>2236.9895999999999</v>
      </c>
      <c r="AB1409" s="19">
        <f>[1]TOBEPAID!AB1068/1000</f>
        <v>0</v>
      </c>
      <c r="AC1409" s="19"/>
      <c r="AD1409" s="19"/>
      <c r="AE1409" s="25" t="s">
        <v>52</v>
      </c>
      <c r="AF1409" s="34">
        <f>D1365+D1375+D1411</f>
        <v>8169.512999999999</v>
      </c>
      <c r="AG1409" s="34">
        <f>E1365+E1375+E1411</f>
        <v>0</v>
      </c>
      <c r="AH1409" s="34">
        <f>F1365+F1375+F1411</f>
        <v>0</v>
      </c>
      <c r="AI1409" s="34">
        <f>+AG1409+AH1409</f>
        <v>0</v>
      </c>
      <c r="AJ1409" s="34">
        <f>L1365+L1375+L1411</f>
        <v>0</v>
      </c>
      <c r="AK1409" s="34">
        <f>+AI1409+AJ1409</f>
        <v>0</v>
      </c>
      <c r="AL1409" s="34">
        <f>O1365+O1375+O1411</f>
        <v>0</v>
      </c>
      <c r="AM1409" s="34">
        <f>P1365+P1375+P1411</f>
        <v>0</v>
      </c>
      <c r="AN1409" s="34">
        <f>+AL1409+AM1409</f>
        <v>0</v>
      </c>
      <c r="AO1409" s="34">
        <f>V1365+V1375+V1411</f>
        <v>0</v>
      </c>
      <c r="AP1409" s="34">
        <f>+AN1409+AO1409</f>
        <v>0</v>
      </c>
      <c r="AQ1409" s="34">
        <f t="shared" si="259"/>
        <v>0</v>
      </c>
      <c r="AR1409" s="34">
        <f>+AF1409-AQ1409</f>
        <v>8169.512999999999</v>
      </c>
      <c r="AS1409" s="34">
        <f t="shared" si="258"/>
        <v>6472.6518999999998</v>
      </c>
    </row>
    <row r="1410" spans="1:45" x14ac:dyDescent="0.2">
      <c r="A1410" s="18"/>
      <c r="C1410" s="20" t="s">
        <v>54</v>
      </c>
      <c r="D1410" s="19">
        <v>0</v>
      </c>
      <c r="E1410" s="19">
        <f>[1]TOBEPAID!E1069/1000</f>
        <v>0</v>
      </c>
      <c r="F1410" s="19">
        <f>[1]TOBEPAID!F1069/1000</f>
        <v>0</v>
      </c>
      <c r="G1410" s="19">
        <f>[1]TOBEPAID!G1069/1000</f>
        <v>0</v>
      </c>
      <c r="H1410" s="19">
        <v>0</v>
      </c>
      <c r="I1410" s="19">
        <f>[1]TOBEPAID!I1069/1000</f>
        <v>0</v>
      </c>
      <c r="J1410" s="19">
        <f>[1]TOBEPAID!J1069/1000</f>
        <v>0</v>
      </c>
      <c r="K1410" s="19">
        <f>[1]TOBEPAID!K1069/1000</f>
        <v>0</v>
      </c>
      <c r="L1410" s="19">
        <f>[1]TOBEPAID!L1069/1000</f>
        <v>0</v>
      </c>
      <c r="M1410" s="19">
        <f>[1]TOBEPAID!M1069/1000</f>
        <v>0</v>
      </c>
      <c r="N1410" s="19">
        <f>[1]TOBEPAID!N1069/1000</f>
        <v>0</v>
      </c>
      <c r="O1410" s="19">
        <f>[1]TOBEPAID!O1069/1000</f>
        <v>0</v>
      </c>
      <c r="P1410" s="19">
        <f>[1]TOBEPAID!P1069/1000</f>
        <v>0</v>
      </c>
      <c r="Q1410" s="19">
        <f>[1]TOBEPAID!Q1069/1000</f>
        <v>0</v>
      </c>
      <c r="R1410" s="19">
        <v>0</v>
      </c>
      <c r="S1410" s="19">
        <f>[1]TOBEPAID!S1069/1000</f>
        <v>0</v>
      </c>
      <c r="T1410" s="19">
        <f>[1]TOBEPAID!T1069/1000</f>
        <v>0</v>
      </c>
      <c r="U1410" s="19">
        <f>[1]TOBEPAID!U1069/1000</f>
        <v>0</v>
      </c>
      <c r="V1410" s="19">
        <f>[1]TOBEPAID!V1069/1000</f>
        <v>0</v>
      </c>
      <c r="W1410" s="19">
        <f>[1]TOBEPAID!W1069/1000</f>
        <v>0</v>
      </c>
      <c r="X1410" s="19">
        <f>[1]TOBEPAID!X1069/1000</f>
        <v>0</v>
      </c>
      <c r="Y1410" s="19">
        <f>+H1410+R1410</f>
        <v>0</v>
      </c>
      <c r="Z1410" s="19">
        <f>+D1410-Y1410</f>
        <v>0</v>
      </c>
      <c r="AA1410" s="19">
        <f>[1]TOBEPAID!AA1069/1000</f>
        <v>0</v>
      </c>
      <c r="AB1410" s="19">
        <f>[1]TOBEPAID!AB1069/1000</f>
        <v>616.94712000000004</v>
      </c>
      <c r="AC1410" s="19"/>
      <c r="AD1410" s="19"/>
      <c r="AE1410" s="25" t="s">
        <v>55</v>
      </c>
      <c r="AF1410" s="34">
        <f>+D1372</f>
        <v>6966.5069999999996</v>
      </c>
      <c r="AG1410" s="34">
        <f>+E1372</f>
        <v>0</v>
      </c>
      <c r="AH1410" s="34">
        <f>+F1372</f>
        <v>0</v>
      </c>
      <c r="AI1410" s="34">
        <f>+AG1410+AH1410</f>
        <v>0</v>
      </c>
      <c r="AJ1410" s="34">
        <f>+L1372</f>
        <v>0</v>
      </c>
      <c r="AK1410" s="34">
        <f>+AI1410+AJ1410</f>
        <v>0</v>
      </c>
      <c r="AL1410" s="34">
        <f>+O1372</f>
        <v>493.85509999999999</v>
      </c>
      <c r="AM1410" s="34">
        <f>+P1372</f>
        <v>0</v>
      </c>
      <c r="AN1410" s="34">
        <f>+AL1410+AM1410</f>
        <v>493.85509999999999</v>
      </c>
      <c r="AO1410" s="34">
        <f>+V1372</f>
        <v>0</v>
      </c>
      <c r="AP1410" s="34">
        <f>+AN1410+AO1410</f>
        <v>493.85509999999999</v>
      </c>
      <c r="AQ1410" s="34">
        <f t="shared" si="259"/>
        <v>493.85509999999999</v>
      </c>
      <c r="AR1410" s="34">
        <f>+AF1410-AQ1410</f>
        <v>6472.6518999999998</v>
      </c>
      <c r="AS1410" s="34">
        <f t="shared" si="258"/>
        <v>-7.6999999964755261E-4</v>
      </c>
    </row>
    <row r="1411" spans="1:45" x14ac:dyDescent="0.2">
      <c r="A1411" s="18"/>
      <c r="C1411" s="20" t="s">
        <v>55</v>
      </c>
      <c r="D1411" s="19">
        <v>0</v>
      </c>
      <c r="E1411" s="19">
        <f>[1]TOBEPAID!E1070/1000</f>
        <v>0</v>
      </c>
      <c r="F1411" s="19">
        <f>[1]TOBEPAID!F1070/1000</f>
        <v>0</v>
      </c>
      <c r="G1411" s="19">
        <f>[1]TOBEPAID!G1070/1000</f>
        <v>0</v>
      </c>
      <c r="H1411" s="19">
        <v>0</v>
      </c>
      <c r="I1411" s="19">
        <f>[1]TOBEPAID!I1070/1000</f>
        <v>0</v>
      </c>
      <c r="J1411" s="19">
        <f>[1]TOBEPAID!J1070/1000</f>
        <v>0</v>
      </c>
      <c r="K1411" s="19">
        <f>[1]TOBEPAID!K1070/1000</f>
        <v>0</v>
      </c>
      <c r="L1411" s="19">
        <f>[1]TOBEPAID!L1070/1000</f>
        <v>0</v>
      </c>
      <c r="M1411" s="19">
        <f>[1]TOBEPAID!M1070/1000</f>
        <v>0</v>
      </c>
      <c r="N1411" s="19">
        <f>[1]TOBEPAID!N1070/1000</f>
        <v>0</v>
      </c>
      <c r="O1411" s="19">
        <f>[1]TOBEPAID!O1070/1000</f>
        <v>0</v>
      </c>
      <c r="P1411" s="19">
        <f>[1]TOBEPAID!P1070/1000</f>
        <v>0</v>
      </c>
      <c r="Q1411" s="19">
        <f>[1]TOBEPAID!Q1070/1000</f>
        <v>0</v>
      </c>
      <c r="R1411" s="19">
        <f>[1]TOBEPAID!R1070/1000</f>
        <v>0</v>
      </c>
      <c r="S1411" s="19">
        <f>[1]TOBEPAID!S1070/1000</f>
        <v>0</v>
      </c>
      <c r="T1411" s="19">
        <f>[1]TOBEPAID!T1070/1000</f>
        <v>0</v>
      </c>
      <c r="U1411" s="19">
        <f>[1]TOBEPAID!U1070/1000</f>
        <v>0</v>
      </c>
      <c r="V1411" s="19">
        <f>[1]TOBEPAID!V1070/1000</f>
        <v>0</v>
      </c>
      <c r="W1411" s="19">
        <f>[1]TOBEPAID!W1070/1000</f>
        <v>0</v>
      </c>
      <c r="X1411" s="19">
        <f>[1]TOBEPAID!X1070/1000</f>
        <v>0</v>
      </c>
      <c r="Y1411" s="19">
        <f>+H1411+R1411</f>
        <v>0</v>
      </c>
      <c r="Z1411" s="19">
        <f>+D1411-Y1411</f>
        <v>0</v>
      </c>
      <c r="AA1411" s="19">
        <f>[1]TOBEPAID!AA1070/1000</f>
        <v>0</v>
      </c>
      <c r="AB1411" s="19">
        <f>[1]TOBEPAID!AB1070/1000</f>
        <v>89.03797999999999</v>
      </c>
      <c r="AC1411" s="19"/>
      <c r="AD1411" s="19"/>
      <c r="AE1411" s="25" t="s">
        <v>96</v>
      </c>
      <c r="AF1411" s="34">
        <f>+D1376</f>
        <v>5096.366</v>
      </c>
      <c r="AG1411" s="34">
        <f>+E1376</f>
        <v>0</v>
      </c>
      <c r="AH1411" s="34">
        <f>+F1376</f>
        <v>0</v>
      </c>
      <c r="AI1411" s="34">
        <f>+AG1411+AH1411</f>
        <v>0</v>
      </c>
      <c r="AJ1411" s="34">
        <f>+L1376</f>
        <v>0</v>
      </c>
      <c r="AK1411" s="34">
        <f>+AI1411+AJ1411</f>
        <v>0</v>
      </c>
      <c r="AL1411" s="34">
        <f>+O1376</f>
        <v>5096.3667699999996</v>
      </c>
      <c r="AM1411" s="34">
        <f>+P1376</f>
        <v>0</v>
      </c>
      <c r="AN1411" s="34">
        <f>+AL1411+AM1411</f>
        <v>5096.3667699999996</v>
      </c>
      <c r="AO1411" s="34">
        <f>+V1376</f>
        <v>0</v>
      </c>
      <c r="AP1411" s="34">
        <f>+AN1411+AO1411</f>
        <v>5096.3667699999996</v>
      </c>
      <c r="AQ1411" s="34">
        <f t="shared" si="259"/>
        <v>5096.3667699999996</v>
      </c>
      <c r="AR1411" s="34">
        <f>+AF1411-AQ1411</f>
        <v>-7.6999999964755261E-4</v>
      </c>
      <c r="AS1411" s="34">
        <f t="shared" si="258"/>
        <v>0</v>
      </c>
    </row>
    <row r="1412" spans="1:45" x14ac:dyDescent="0.2">
      <c r="A1412" s="18"/>
      <c r="D1412" s="21" t="s">
        <v>57</v>
      </c>
      <c r="E1412" s="21" t="s">
        <v>57</v>
      </c>
      <c r="F1412" s="21" t="s">
        <v>57</v>
      </c>
      <c r="G1412" s="21"/>
      <c r="H1412" s="21" t="s">
        <v>57</v>
      </c>
      <c r="I1412" s="21" t="s">
        <v>57</v>
      </c>
      <c r="J1412" s="21" t="s">
        <v>57</v>
      </c>
      <c r="K1412" s="21" t="s">
        <v>57</v>
      </c>
      <c r="L1412" s="21" t="s">
        <v>57</v>
      </c>
      <c r="M1412" s="21"/>
      <c r="N1412" s="21" t="s">
        <v>57</v>
      </c>
      <c r="O1412" s="21" t="s">
        <v>57</v>
      </c>
      <c r="P1412" s="21" t="s">
        <v>57</v>
      </c>
      <c r="Q1412" s="21"/>
      <c r="R1412" s="21" t="s">
        <v>57</v>
      </c>
      <c r="S1412" s="21" t="s">
        <v>57</v>
      </c>
      <c r="T1412" s="21" t="s">
        <v>57</v>
      </c>
      <c r="U1412" s="21" t="s">
        <v>57</v>
      </c>
      <c r="V1412" s="21" t="s">
        <v>57</v>
      </c>
      <c r="W1412" s="21"/>
      <c r="X1412" s="21" t="s">
        <v>57</v>
      </c>
      <c r="Y1412" s="21" t="s">
        <v>57</v>
      </c>
      <c r="Z1412" s="21" t="s">
        <v>57</v>
      </c>
      <c r="AA1412" s="21" t="s">
        <v>57</v>
      </c>
      <c r="AB1412" s="21" t="s">
        <v>57</v>
      </c>
      <c r="AC1412" s="21"/>
      <c r="AD1412" s="21"/>
      <c r="AE1412" s="25" t="s">
        <v>97</v>
      </c>
      <c r="AF1412" s="34">
        <f>+D1399</f>
        <v>17250</v>
      </c>
      <c r="AG1412" s="34">
        <f>+E1399</f>
        <v>17250</v>
      </c>
      <c r="AH1412" s="34">
        <f>+F1399</f>
        <v>0</v>
      </c>
      <c r="AI1412" s="34">
        <f>+AG1412+AH1412</f>
        <v>17250</v>
      </c>
      <c r="AJ1412" s="34">
        <f>+L1399</f>
        <v>0</v>
      </c>
      <c r="AK1412" s="34">
        <f>+AI1412+AJ1412</f>
        <v>17250</v>
      </c>
      <c r="AL1412" s="34">
        <f>+O1399</f>
        <v>0</v>
      </c>
      <c r="AM1412" s="34">
        <f>+P1399</f>
        <v>0</v>
      </c>
      <c r="AN1412" s="34">
        <f>+AL1412+AM1412</f>
        <v>0</v>
      </c>
      <c r="AO1412" s="34">
        <f>+V1399</f>
        <v>0</v>
      </c>
      <c r="AP1412" s="34">
        <f>+AN1412+AO1412</f>
        <v>0</v>
      </c>
      <c r="AQ1412" s="34">
        <f t="shared" si="259"/>
        <v>17250</v>
      </c>
      <c r="AR1412" s="34">
        <f>+AF1412-AQ1412</f>
        <v>0</v>
      </c>
      <c r="AS1412" s="34">
        <f t="shared" si="258"/>
        <v>0</v>
      </c>
    </row>
    <row r="1413" spans="1:45" x14ac:dyDescent="0.2">
      <c r="A1413" s="18"/>
      <c r="D1413" s="19">
        <f>SUM(D1408:D1411)</f>
        <v>18362.452000000001</v>
      </c>
      <c r="E1413" s="19">
        <f>SUM(E1404:E1411)</f>
        <v>2236.9895999999999</v>
      </c>
      <c r="F1413" s="19">
        <f>SUM(F1404:F1411)</f>
        <v>0</v>
      </c>
      <c r="G1413" s="19"/>
      <c r="H1413" s="19">
        <f t="shared" ref="H1413:Z1413" si="260">SUM(H1408:H1411)</f>
        <v>15631.989</v>
      </c>
      <c r="I1413" s="19">
        <f t="shared" si="260"/>
        <v>0</v>
      </c>
      <c r="J1413" s="19">
        <f t="shared" si="260"/>
        <v>0</v>
      </c>
      <c r="K1413" s="19">
        <f t="shared" si="260"/>
        <v>0</v>
      </c>
      <c r="L1413" s="19">
        <f t="shared" si="260"/>
        <v>0</v>
      </c>
      <c r="M1413" s="19">
        <f t="shared" si="260"/>
        <v>0</v>
      </c>
      <c r="N1413" s="19">
        <f t="shared" si="260"/>
        <v>2236.9895999999999</v>
      </c>
      <c r="O1413" s="19">
        <f t="shared" si="260"/>
        <v>0</v>
      </c>
      <c r="P1413" s="19">
        <f t="shared" si="260"/>
        <v>0</v>
      </c>
      <c r="Q1413" s="19">
        <f t="shared" si="260"/>
        <v>0</v>
      </c>
      <c r="R1413" s="19">
        <f t="shared" si="260"/>
        <v>482</v>
      </c>
      <c r="S1413" s="19">
        <f t="shared" si="260"/>
        <v>0</v>
      </c>
      <c r="T1413" s="19">
        <f t="shared" si="260"/>
        <v>0</v>
      </c>
      <c r="U1413" s="19">
        <f t="shared" si="260"/>
        <v>0</v>
      </c>
      <c r="V1413" s="19">
        <f t="shared" si="260"/>
        <v>0</v>
      </c>
      <c r="W1413" s="19">
        <f t="shared" si="260"/>
        <v>0</v>
      </c>
      <c r="X1413" s="19">
        <f t="shared" si="260"/>
        <v>0</v>
      </c>
      <c r="Y1413" s="19">
        <f t="shared" si="260"/>
        <v>16113.989</v>
      </c>
      <c r="Z1413" s="19">
        <f t="shared" si="260"/>
        <v>2248.4629999999997</v>
      </c>
      <c r="AA1413" s="19">
        <f>SUM(AA1404:AA1411)</f>
        <v>2236.9895999999999</v>
      </c>
      <c r="AB1413" s="19">
        <f>SUM(AB1404:AB1411)</f>
        <v>705.98509999999999</v>
      </c>
      <c r="AC1413" s="19"/>
      <c r="AD1413" s="19"/>
      <c r="AE1413" s="25" t="s">
        <v>70</v>
      </c>
      <c r="AF1413" s="34">
        <f>+D1410</f>
        <v>0</v>
      </c>
      <c r="AG1413" s="34">
        <f>+E1410</f>
        <v>0</v>
      </c>
      <c r="AH1413" s="34">
        <f>+F1410</f>
        <v>0</v>
      </c>
      <c r="AI1413" s="34">
        <f>+AG1413+AH1413</f>
        <v>0</v>
      </c>
      <c r="AJ1413" s="34">
        <f>+H1410</f>
        <v>0</v>
      </c>
      <c r="AK1413" s="34">
        <f>+AI1413+AJ1413</f>
        <v>0</v>
      </c>
      <c r="AL1413" s="34">
        <f>+O1410</f>
        <v>0</v>
      </c>
      <c r="AM1413" s="34">
        <f>+P1410</f>
        <v>0</v>
      </c>
      <c r="AN1413" s="34">
        <f>+AL1413+AM1413</f>
        <v>0</v>
      </c>
      <c r="AO1413" s="34">
        <f>+V1410</f>
        <v>0</v>
      </c>
      <c r="AP1413" s="34">
        <f>+AN1413+AO1413</f>
        <v>0</v>
      </c>
      <c r="AQ1413" s="34">
        <f t="shared" si="259"/>
        <v>0</v>
      </c>
      <c r="AR1413" s="34">
        <f>+AF1413-AQ1413</f>
        <v>0</v>
      </c>
      <c r="AS1413" s="34" t="e">
        <f>SUM(AS1400:AS1412)</f>
        <v>#VALUE!</v>
      </c>
    </row>
    <row r="1414" spans="1:45" x14ac:dyDescent="0.2">
      <c r="A1414" s="18"/>
      <c r="D1414" s="21" t="s">
        <v>57</v>
      </c>
      <c r="E1414" s="21" t="s">
        <v>57</v>
      </c>
      <c r="F1414" s="21" t="s">
        <v>57</v>
      </c>
      <c r="G1414" s="21"/>
      <c r="H1414" s="21" t="s">
        <v>57</v>
      </c>
      <c r="I1414" s="21" t="s">
        <v>57</v>
      </c>
      <c r="J1414" s="21" t="s">
        <v>57</v>
      </c>
      <c r="K1414" s="21" t="s">
        <v>57</v>
      </c>
      <c r="L1414" s="21" t="s">
        <v>57</v>
      </c>
      <c r="M1414" s="21"/>
      <c r="N1414" s="21" t="s">
        <v>57</v>
      </c>
      <c r="O1414" s="21" t="s">
        <v>57</v>
      </c>
      <c r="P1414" s="21" t="s">
        <v>57</v>
      </c>
      <c r="Q1414" s="21"/>
      <c r="R1414" s="21" t="s">
        <v>57</v>
      </c>
      <c r="S1414" s="21" t="s">
        <v>57</v>
      </c>
      <c r="T1414" s="21" t="s">
        <v>57</v>
      </c>
      <c r="U1414" s="21" t="s">
        <v>57</v>
      </c>
      <c r="V1414" s="21" t="s">
        <v>57</v>
      </c>
      <c r="W1414" s="21"/>
      <c r="X1414" s="21" t="s">
        <v>57</v>
      </c>
      <c r="Y1414" s="21" t="s">
        <v>57</v>
      </c>
      <c r="Z1414" s="21" t="s">
        <v>57</v>
      </c>
      <c r="AA1414" s="21" t="s">
        <v>57</v>
      </c>
      <c r="AB1414" s="21" t="s">
        <v>57</v>
      </c>
      <c r="AC1414" s="21"/>
      <c r="AD1414" s="21"/>
      <c r="AE1414" s="25" t="s">
        <v>87</v>
      </c>
      <c r="AF1414" s="34" t="e">
        <f t="shared" ref="AF1414:AR1414" si="261">SUM(AF1401:AF1413)</f>
        <v>#VALUE!</v>
      </c>
      <c r="AG1414" s="34" t="e">
        <f t="shared" si="261"/>
        <v>#VALUE!</v>
      </c>
      <c r="AH1414" s="34" t="e">
        <f t="shared" si="261"/>
        <v>#VALUE!</v>
      </c>
      <c r="AI1414" s="34" t="e">
        <f t="shared" si="261"/>
        <v>#VALUE!</v>
      </c>
      <c r="AJ1414" s="34" t="e">
        <f t="shared" si="261"/>
        <v>#VALUE!</v>
      </c>
      <c r="AK1414" s="34" t="e">
        <f t="shared" si="261"/>
        <v>#VALUE!</v>
      </c>
      <c r="AL1414" s="34" t="e">
        <f t="shared" si="261"/>
        <v>#VALUE!</v>
      </c>
      <c r="AM1414" s="34" t="e">
        <f t="shared" si="261"/>
        <v>#VALUE!</v>
      </c>
      <c r="AN1414" s="34" t="e">
        <f t="shared" si="261"/>
        <v>#VALUE!</v>
      </c>
      <c r="AO1414" s="34" t="e">
        <f t="shared" si="261"/>
        <v>#VALUE!</v>
      </c>
      <c r="AP1414" s="34" t="e">
        <f t="shared" si="261"/>
        <v>#VALUE!</v>
      </c>
      <c r="AQ1414" s="34" t="e">
        <f t="shared" si="261"/>
        <v>#VALUE!</v>
      </c>
      <c r="AR1414" s="34" t="e">
        <f t="shared" si="261"/>
        <v>#VALUE!</v>
      </c>
      <c r="AS1414" s="34"/>
    </row>
    <row r="1415" spans="1:45" x14ac:dyDescent="0.2">
      <c r="A1415" s="18"/>
      <c r="D1415" s="21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  <c r="R1415" s="21"/>
      <c r="S1415" s="21"/>
      <c r="T1415" s="21"/>
      <c r="U1415" s="21"/>
      <c r="V1415" s="21"/>
      <c r="W1415" s="21"/>
      <c r="X1415" s="21"/>
      <c r="Y1415" s="21"/>
      <c r="Z1415" s="21"/>
      <c r="AA1415" s="21"/>
      <c r="AB1415" s="21"/>
      <c r="AC1415" s="21"/>
      <c r="AD1415" s="21"/>
      <c r="AF1415" s="34"/>
      <c r="AG1415" s="34"/>
      <c r="AH1415" s="34"/>
      <c r="AI1415" s="34"/>
      <c r="AJ1415" s="34"/>
      <c r="AK1415" s="34"/>
      <c r="AL1415" s="34"/>
      <c r="AM1415" s="34"/>
      <c r="AN1415" s="34"/>
      <c r="AO1415" s="34"/>
      <c r="AP1415" s="34"/>
      <c r="AQ1415" s="34"/>
      <c r="AR1415" s="34"/>
      <c r="AS1415" s="34"/>
    </row>
    <row r="1416" spans="1:45" x14ac:dyDescent="0.2">
      <c r="A1416" s="18"/>
      <c r="B1416" s="17" t="s">
        <v>29</v>
      </c>
      <c r="C1416" s="17" t="s">
        <v>387</v>
      </c>
      <c r="D1416" s="19">
        <f>D1367+D1378+D1384+D1390+D1401+D1413</f>
        <v>233831.35897</v>
      </c>
      <c r="E1416" s="19">
        <f>E1367+E1378+E1384+E1390+E1401+E1413</f>
        <v>31036.731469999999</v>
      </c>
      <c r="F1416" s="19">
        <f>+F1413+F1401+F1390+F1384+F1378+F1367</f>
        <v>0</v>
      </c>
      <c r="G1416" s="19"/>
      <c r="H1416" s="19">
        <f>H1367+H1378+H1384+H1387+H1401+H1413+H1390</f>
        <v>136344.03427999999</v>
      </c>
      <c r="I1416" s="19">
        <f>I1367+I1378+I1384+I1387+I1401+I1413</f>
        <v>0</v>
      </c>
      <c r="J1416" s="19">
        <f>J1367+J1378+J1384+J1387+J1401+J1413</f>
        <v>0</v>
      </c>
      <c r="K1416" s="19">
        <f>K1367+K1378+K1384+K1387+K1401+K1413</f>
        <v>0</v>
      </c>
      <c r="L1416" s="19">
        <f>L1367+L1378+L1384+L1387+L1401+L1413</f>
        <v>0</v>
      </c>
      <c r="M1416" s="19"/>
      <c r="N1416" s="19">
        <f>N1367+N1378+N1384+N1387+N1401+N1413+N1390</f>
        <v>31036.731470000002</v>
      </c>
      <c r="O1416" s="19" t="e">
        <f>O1367+O1378+O1384+O1387+O1401+O1413+O1271</f>
        <v>#VALUE!</v>
      </c>
      <c r="P1416" s="19" t="e">
        <f>P1367+P1378+P1384+P1387+P1401+P1413+P1271</f>
        <v>#VALUE!</v>
      </c>
      <c r="Q1416" s="19"/>
      <c r="R1416" s="19">
        <f>R1367+R1378+R1384+R1387+R1401+R1413+R1390</f>
        <v>11289.13617</v>
      </c>
      <c r="S1416" s="19">
        <f>S1367+S1378+S1384+S1387+S1401+S1413</f>
        <v>108.12775000000001</v>
      </c>
      <c r="T1416" s="19">
        <f>T1367+T1378+T1384+T1387+T1401+T1413</f>
        <v>0</v>
      </c>
      <c r="U1416" s="19">
        <f>U1367+U1378+U1384+U1387+U1401+U1413</f>
        <v>0</v>
      </c>
      <c r="V1416" s="19" t="e">
        <f>V1367+V1378+V1384+V1387+V1401+V1413+V1271</f>
        <v>#VALUE!</v>
      </c>
      <c r="W1416" s="19"/>
      <c r="X1416" s="19" t="e">
        <f>X1367+X1378+X1384+X1387+X1401+X1413+X1271</f>
        <v>#VALUE!</v>
      </c>
      <c r="Y1416" s="19">
        <f>Y1367+Y1378+Y1384+Y1387+Y1401+Y1413+Y1390</f>
        <v>147633.17045000001</v>
      </c>
      <c r="Z1416" s="19">
        <f>Z1367+Z1378+Z1384+Z1390+Z1401+Z1413</f>
        <v>86198.188519999996</v>
      </c>
      <c r="AA1416" s="19">
        <f>AA1367+AA1378+AA1384+AA1387+AA1401+AA1413</f>
        <v>35601.261910000001</v>
      </c>
      <c r="AB1416" s="19">
        <f>AB1367+AB1378+AB1384+AB1390+AB1401+AB1413</f>
        <v>85942.467370000013</v>
      </c>
      <c r="AC1416" s="19"/>
      <c r="AD1416" s="19"/>
      <c r="AF1416" s="34"/>
      <c r="AG1416" s="34"/>
      <c r="AH1416" s="34"/>
      <c r="AI1416" s="34"/>
      <c r="AJ1416" s="34"/>
      <c r="AK1416" s="34"/>
      <c r="AL1416" s="34"/>
      <c r="AM1416" s="34"/>
      <c r="AN1416" s="34"/>
      <c r="AO1416" s="34"/>
      <c r="AP1416" s="34"/>
      <c r="AQ1416" s="34"/>
      <c r="AR1416" s="34"/>
      <c r="AS1416" s="34"/>
    </row>
    <row r="1417" spans="1:45" x14ac:dyDescent="0.2">
      <c r="A1417" s="18"/>
      <c r="D1417" s="21" t="s">
        <v>93</v>
      </c>
      <c r="E1417" s="21" t="s">
        <v>93</v>
      </c>
      <c r="F1417" s="21" t="s">
        <v>93</v>
      </c>
      <c r="G1417" s="21"/>
      <c r="H1417" s="21" t="s">
        <v>93</v>
      </c>
      <c r="I1417" s="21" t="s">
        <v>93</v>
      </c>
      <c r="J1417" s="21" t="s">
        <v>93</v>
      </c>
      <c r="K1417" s="21" t="s">
        <v>93</v>
      </c>
      <c r="L1417" s="21" t="s">
        <v>93</v>
      </c>
      <c r="M1417" s="21"/>
      <c r="N1417" s="21" t="s">
        <v>93</v>
      </c>
      <c r="O1417" s="21" t="s">
        <v>93</v>
      </c>
      <c r="P1417" s="21" t="s">
        <v>93</v>
      </c>
      <c r="Q1417" s="21"/>
      <c r="R1417" s="21" t="s">
        <v>93</v>
      </c>
      <c r="S1417" s="21" t="s">
        <v>93</v>
      </c>
      <c r="T1417" s="21" t="s">
        <v>93</v>
      </c>
      <c r="U1417" s="21" t="s">
        <v>93</v>
      </c>
      <c r="V1417" s="21" t="s">
        <v>93</v>
      </c>
      <c r="W1417" s="21"/>
      <c r="X1417" s="21" t="s">
        <v>93</v>
      </c>
      <c r="Y1417" s="21" t="s">
        <v>93</v>
      </c>
      <c r="Z1417" s="21" t="s">
        <v>93</v>
      </c>
      <c r="AA1417" s="21" t="s">
        <v>93</v>
      </c>
      <c r="AB1417" s="21" t="s">
        <v>93</v>
      </c>
      <c r="AC1417" s="21"/>
      <c r="AD1417" s="21"/>
      <c r="AF1417" s="34"/>
      <c r="AG1417" s="34"/>
      <c r="AH1417" s="34"/>
      <c r="AI1417" s="34"/>
      <c r="AJ1417" s="34"/>
      <c r="AK1417" s="34"/>
      <c r="AL1417" s="34"/>
      <c r="AM1417" s="34"/>
      <c r="AN1417" s="34"/>
      <c r="AO1417" s="34"/>
      <c r="AP1417" s="34"/>
      <c r="AQ1417" s="34"/>
      <c r="AR1417" s="34"/>
      <c r="AS1417" s="34"/>
    </row>
    <row r="1418" spans="1:45" x14ac:dyDescent="0.2">
      <c r="A1418" s="18"/>
      <c r="D1418" s="30"/>
      <c r="E1418" s="30"/>
      <c r="F1418" s="30"/>
      <c r="G1418" s="30"/>
      <c r="H1418" s="30"/>
      <c r="I1418" s="30"/>
      <c r="J1418" s="30"/>
      <c r="K1418" s="30"/>
      <c r="L1418" s="30"/>
      <c r="M1418" s="30"/>
      <c r="N1418" s="30"/>
      <c r="O1418" s="30"/>
      <c r="P1418" s="30"/>
      <c r="Q1418" s="30"/>
      <c r="R1418" s="30"/>
      <c r="S1418" s="30"/>
      <c r="T1418" s="30"/>
      <c r="U1418" s="30"/>
      <c r="V1418" s="30"/>
      <c r="W1418" s="30"/>
      <c r="X1418" s="30"/>
      <c r="Y1418" s="30"/>
      <c r="Z1418" s="30"/>
      <c r="AA1418" s="30"/>
      <c r="AB1418" s="30"/>
      <c r="AC1418" s="30"/>
      <c r="AD1418" s="30"/>
      <c r="AF1418" s="34"/>
      <c r="AG1418" s="34"/>
      <c r="AH1418" s="34"/>
      <c r="AI1418" s="34"/>
      <c r="AJ1418" s="34"/>
      <c r="AK1418" s="34"/>
      <c r="AL1418" s="34"/>
      <c r="AM1418" s="34"/>
      <c r="AN1418" s="34"/>
      <c r="AO1418" s="34"/>
      <c r="AP1418" s="34"/>
      <c r="AQ1418" s="34"/>
      <c r="AR1418" s="34"/>
      <c r="AS1418" s="34"/>
    </row>
    <row r="1419" spans="1:45" x14ac:dyDescent="0.2">
      <c r="A1419" s="18"/>
      <c r="B1419" s="17" t="s">
        <v>388</v>
      </c>
      <c r="D1419" s="30"/>
      <c r="E1419" s="30"/>
      <c r="F1419" s="30"/>
      <c r="G1419" s="30"/>
      <c r="H1419" s="30"/>
      <c r="I1419" s="30"/>
      <c r="J1419" s="30"/>
      <c r="K1419" s="30"/>
      <c r="L1419" s="30"/>
      <c r="M1419" s="30"/>
      <c r="N1419" s="30"/>
      <c r="O1419" s="30"/>
      <c r="P1419" s="30"/>
      <c r="Q1419" s="30"/>
      <c r="R1419" s="30"/>
      <c r="S1419" s="30"/>
      <c r="T1419" s="30"/>
      <c r="U1419" s="30"/>
      <c r="V1419" s="30"/>
      <c r="W1419" s="30"/>
      <c r="X1419" s="30"/>
      <c r="Y1419" s="30"/>
      <c r="Z1419" s="30"/>
      <c r="AA1419" s="30"/>
      <c r="AB1419" s="30"/>
      <c r="AC1419" s="30"/>
      <c r="AD1419" s="30"/>
      <c r="AF1419" s="34"/>
      <c r="AG1419" s="34"/>
      <c r="AH1419" s="34"/>
      <c r="AI1419" s="34"/>
      <c r="AJ1419" s="34"/>
      <c r="AK1419" s="34"/>
      <c r="AL1419" s="34"/>
      <c r="AM1419" s="34"/>
      <c r="AN1419" s="34"/>
      <c r="AO1419" s="34"/>
      <c r="AP1419" s="34"/>
      <c r="AQ1419" s="34"/>
      <c r="AR1419" s="34"/>
      <c r="AS1419" s="34"/>
    </row>
    <row r="1420" spans="1:45" x14ac:dyDescent="0.2">
      <c r="A1420" s="18"/>
      <c r="D1420" s="30"/>
      <c r="E1420" s="30"/>
      <c r="F1420" s="30"/>
      <c r="G1420" s="30"/>
      <c r="H1420" s="30"/>
      <c r="I1420" s="30"/>
      <c r="J1420" s="30"/>
      <c r="K1420" s="30"/>
      <c r="L1420" s="30"/>
      <c r="M1420" s="30"/>
      <c r="N1420" s="30"/>
      <c r="O1420" s="30"/>
      <c r="P1420" s="30"/>
      <c r="Q1420" s="30"/>
      <c r="R1420" s="30"/>
      <c r="S1420" s="30"/>
      <c r="T1420" s="30"/>
      <c r="U1420" s="30"/>
      <c r="V1420" s="30"/>
      <c r="W1420" s="30"/>
      <c r="X1420" s="30"/>
      <c r="Y1420" s="30"/>
      <c r="Z1420" s="30"/>
      <c r="AA1420" s="30"/>
      <c r="AB1420" s="30"/>
      <c r="AC1420" s="30"/>
      <c r="AD1420" s="30"/>
      <c r="AF1420" s="34"/>
      <c r="AG1420" s="34"/>
      <c r="AH1420" s="34"/>
      <c r="AI1420" s="34"/>
      <c r="AJ1420" s="34"/>
      <c r="AK1420" s="34"/>
      <c r="AL1420" s="34"/>
      <c r="AM1420" s="34"/>
      <c r="AN1420" s="34"/>
      <c r="AO1420" s="34"/>
      <c r="AP1420" s="34"/>
      <c r="AQ1420" s="34"/>
      <c r="AR1420" s="34"/>
      <c r="AS1420" s="34"/>
    </row>
    <row r="1421" spans="1:45" x14ac:dyDescent="0.2">
      <c r="A1421" s="18">
        <v>113</v>
      </c>
      <c r="B1421" s="17" t="s">
        <v>389</v>
      </c>
      <c r="C1421" s="17" t="s">
        <v>51</v>
      </c>
      <c r="D1421" s="19">
        <f>35367028/1000</f>
        <v>35367.027999999998</v>
      </c>
      <c r="E1421" s="19">
        <f>[1]TOBEPAID!E1082/1000</f>
        <v>12292.58029</v>
      </c>
      <c r="F1421" s="19">
        <f>[1]TOBEPAID!F1082/1000</f>
        <v>0</v>
      </c>
      <c r="G1421" s="19">
        <f>[1]TOBEPAID!G1082/1000</f>
        <v>0</v>
      </c>
      <c r="H1421" s="19">
        <f>19092580/1000</f>
        <v>19092.580000000002</v>
      </c>
      <c r="I1421" s="19">
        <f>[1]TOBEPAID!I1082/1000</f>
        <v>0</v>
      </c>
      <c r="J1421" s="19">
        <f>[1]TOBEPAID!J1082/1000</f>
        <v>0</v>
      </c>
      <c r="K1421" s="19">
        <f>[1]TOBEPAID!K1082/1000</f>
        <v>0</v>
      </c>
      <c r="L1421" s="19">
        <f>[1]TOBEPAID!L1082/1000</f>
        <v>0</v>
      </c>
      <c r="M1421" s="19">
        <f>[1]TOBEPAID!M1082/1000</f>
        <v>0</v>
      </c>
      <c r="N1421" s="19">
        <f>[1]TOBEPAID!N1082/1000</f>
        <v>12292.58029</v>
      </c>
      <c r="O1421" s="19">
        <f>[1]TOBEPAID!O1082/1000</f>
        <v>15027.393610000001</v>
      </c>
      <c r="P1421" s="19">
        <f>[1]TOBEPAID!P1082/1000</f>
        <v>0</v>
      </c>
      <c r="Q1421" s="19">
        <f>[1]TOBEPAID!Q1082/1000</f>
        <v>0</v>
      </c>
      <c r="R1421" s="19">
        <f>17816164/1000</f>
        <v>17816.164000000001</v>
      </c>
      <c r="S1421" s="19">
        <f>[1]TOBEPAID!S1082/1000</f>
        <v>984.54727999999955</v>
      </c>
      <c r="T1421" s="19">
        <f>[1]TOBEPAID!T1082/1000</f>
        <v>0</v>
      </c>
      <c r="U1421" s="19">
        <f>[1]TOBEPAID!U1082/1000</f>
        <v>2045.1663699999999</v>
      </c>
      <c r="V1421" s="19">
        <f>[1]TOBEPAID!V1082/1000</f>
        <v>0</v>
      </c>
      <c r="W1421" s="19">
        <f>[1]TOBEPAID!W1082/1000</f>
        <v>0</v>
      </c>
      <c r="X1421" s="19">
        <f>[1]TOBEPAID!X1082/1000</f>
        <v>15027.393610000001</v>
      </c>
      <c r="Y1421" s="19">
        <f>+H1421+R1421</f>
        <v>36908.744000000006</v>
      </c>
      <c r="Z1421" s="19">
        <f t="shared" ref="Z1421:Z1426" si="262">+D1421-Y1421</f>
        <v>-1541.7160000000076</v>
      </c>
      <c r="AA1421" s="19">
        <f>[1]TOBEPAID!AA1082/1000</f>
        <v>27319.973899999997</v>
      </c>
      <c r="AB1421" s="19">
        <f>[1]TOBEPAID!AB1082/1000</f>
        <v>1853.3200000000056</v>
      </c>
      <c r="AC1421" s="19"/>
      <c r="AD1421" s="19"/>
      <c r="AF1421" s="34"/>
      <c r="AG1421" s="34"/>
      <c r="AH1421" s="34"/>
      <c r="AI1421" s="34"/>
      <c r="AJ1421" s="34"/>
      <c r="AK1421" s="34"/>
      <c r="AL1421" s="34"/>
      <c r="AM1421" s="34"/>
      <c r="AN1421" s="34"/>
      <c r="AO1421" s="34"/>
      <c r="AP1421" s="34"/>
      <c r="AQ1421" s="34"/>
      <c r="AR1421" s="34"/>
    </row>
    <row r="1422" spans="1:45" x14ac:dyDescent="0.2">
      <c r="A1422" s="18"/>
      <c r="C1422" s="20" t="s">
        <v>52</v>
      </c>
      <c r="D1422" s="19">
        <f>7128475/1000</f>
        <v>7128.4750000000004</v>
      </c>
      <c r="E1422" s="19">
        <f>[1]TOBEPAID!E1083/1000</f>
        <v>7128.4754699999994</v>
      </c>
      <c r="F1422" s="19">
        <f>[1]TOBEPAID!F1083/1000</f>
        <v>0</v>
      </c>
      <c r="G1422" s="19">
        <f>[1]TOBEPAID!G1083/1000</f>
        <v>0</v>
      </c>
      <c r="H1422" s="19">
        <f>7128475/1000</f>
        <v>7128.4750000000004</v>
      </c>
      <c r="I1422" s="19">
        <f>[1]TOBEPAID!I1083/1000</f>
        <v>0</v>
      </c>
      <c r="J1422" s="19">
        <f>[1]TOBEPAID!J1083/1000</f>
        <v>0</v>
      </c>
      <c r="K1422" s="19">
        <f>[1]TOBEPAID!K1083/1000</f>
        <v>0</v>
      </c>
      <c r="L1422" s="19">
        <f>[1]TOBEPAID!L1083/1000</f>
        <v>0</v>
      </c>
      <c r="M1422" s="19">
        <f>[1]TOBEPAID!M1083/1000</f>
        <v>0</v>
      </c>
      <c r="N1422" s="19">
        <f>[1]TOBEPAID!N1083/1000</f>
        <v>7128.4754699999994</v>
      </c>
      <c r="O1422" s="19">
        <f>[1]TOBEPAID!O1083/1000</f>
        <v>0</v>
      </c>
      <c r="P1422" s="19">
        <f>[1]TOBEPAID!P1083/1000</f>
        <v>0</v>
      </c>
      <c r="Q1422" s="19">
        <f>[1]TOBEPAID!Q1083/1000</f>
        <v>0</v>
      </c>
      <c r="R1422" s="19">
        <v>0</v>
      </c>
      <c r="S1422" s="19">
        <f>[1]TOBEPAID!S1083/1000</f>
        <v>0</v>
      </c>
      <c r="T1422" s="19">
        <f>[1]TOBEPAID!T1083/1000</f>
        <v>0</v>
      </c>
      <c r="U1422" s="19">
        <f>[1]TOBEPAID!U1083/1000</f>
        <v>0</v>
      </c>
      <c r="V1422" s="19">
        <f>[1]TOBEPAID!V1083/1000</f>
        <v>0</v>
      </c>
      <c r="W1422" s="19">
        <f>[1]TOBEPAID!W1083/1000</f>
        <v>0</v>
      </c>
      <c r="X1422" s="19">
        <f>[1]TOBEPAID!X1083/1000</f>
        <v>0</v>
      </c>
      <c r="Y1422" s="19">
        <f t="shared" ref="Y1422:Y1430" si="263">+H1422+R1422</f>
        <v>7128.4750000000004</v>
      </c>
      <c r="Z1422" s="19">
        <f t="shared" si="262"/>
        <v>0</v>
      </c>
      <c r="AA1422" s="19">
        <f>[1]TOBEPAID!AA1083/1000</f>
        <v>7128.4754699999994</v>
      </c>
      <c r="AB1422" s="19">
        <f>[1]TOBEPAID!AB1083/1000</f>
        <v>0</v>
      </c>
      <c r="AC1422" s="19"/>
      <c r="AD1422" s="19"/>
    </row>
    <row r="1423" spans="1:45" x14ac:dyDescent="0.2">
      <c r="C1423" s="3" t="s">
        <v>67</v>
      </c>
      <c r="D1423" s="19">
        <f>1834000000/1000</f>
        <v>1834000</v>
      </c>
      <c r="E1423" s="19">
        <f>[1]TOBEPAID!E1084/1000</f>
        <v>255000</v>
      </c>
      <c r="F1423" s="19">
        <f>[1]TOBEPAID!F1084/1000</f>
        <v>29000</v>
      </c>
      <c r="G1423" s="19">
        <f>[1]TOBEPAID!G1084/1000</f>
        <v>0</v>
      </c>
      <c r="H1423" s="19">
        <f>1834000000/1000</f>
        <v>1834000</v>
      </c>
      <c r="I1423" s="19">
        <f>[1]TOBEPAID!I1084/1000</f>
        <v>0</v>
      </c>
      <c r="J1423" s="19">
        <f>[1]TOBEPAID!J1084/1000</f>
        <v>0</v>
      </c>
      <c r="K1423" s="19">
        <f>[1]TOBEPAID!K1084/1000</f>
        <v>0</v>
      </c>
      <c r="L1423" s="19">
        <f>[1]TOBEPAID!L1084/1000</f>
        <v>0</v>
      </c>
      <c r="M1423" s="19">
        <f>[1]TOBEPAID!M1084/1000</f>
        <v>0</v>
      </c>
      <c r="N1423" s="19">
        <f>[1]TOBEPAID!N1084/1000</f>
        <v>284000</v>
      </c>
      <c r="O1423" s="19">
        <f>[1]TOBEPAID!O1084/1000</f>
        <v>0</v>
      </c>
      <c r="P1423" s="19">
        <f>[1]TOBEPAID!P1084/1000</f>
        <v>0</v>
      </c>
      <c r="Q1423" s="19">
        <f>[1]TOBEPAID!Q1084/1000</f>
        <v>0</v>
      </c>
      <c r="R1423" s="19">
        <v>0</v>
      </c>
      <c r="S1423" s="19">
        <f>[1]TOBEPAID!S1084/1000</f>
        <v>0</v>
      </c>
      <c r="T1423" s="19">
        <f>[1]TOBEPAID!T1084/1000</f>
        <v>0</v>
      </c>
      <c r="U1423" s="19">
        <f>[1]TOBEPAID!U1084/1000</f>
        <v>0</v>
      </c>
      <c r="V1423" s="19">
        <f>[1]TOBEPAID!V1084/1000</f>
        <v>0</v>
      </c>
      <c r="W1423" s="19">
        <f>[1]TOBEPAID!W1084/1000</f>
        <v>0</v>
      </c>
      <c r="X1423" s="19">
        <f>[1]TOBEPAID!X1084/1000</f>
        <v>0</v>
      </c>
      <c r="Y1423" s="19">
        <f t="shared" si="263"/>
        <v>1834000</v>
      </c>
      <c r="Z1423" s="19">
        <f t="shared" si="262"/>
        <v>0</v>
      </c>
      <c r="AA1423" s="19">
        <f>[1]TOBEPAID!AA1084/1000</f>
        <v>284000</v>
      </c>
      <c r="AB1423" s="19">
        <f>[1]TOBEPAID!AB1084/1000</f>
        <v>0</v>
      </c>
      <c r="AC1423" s="19"/>
      <c r="AD1423" s="19"/>
    </row>
    <row r="1424" spans="1:45" x14ac:dyDescent="0.2">
      <c r="C1424" s="3" t="s">
        <v>132</v>
      </c>
      <c r="D1424" s="19">
        <f>5677928/1000</f>
        <v>5677.9279999999999</v>
      </c>
      <c r="E1424" s="19">
        <f>[1]TOBEPAID!E1085/1000</f>
        <v>5677.9281700000001</v>
      </c>
      <c r="F1424" s="19">
        <f>[1]TOBEPAID!F1085/1000</f>
        <v>0</v>
      </c>
      <c r="G1424" s="19">
        <f>[1]TOBEPAID!G1085/1000</f>
        <v>0</v>
      </c>
      <c r="H1424" s="19">
        <f>5677928/1000</f>
        <v>5677.9279999999999</v>
      </c>
      <c r="I1424" s="19">
        <f>[1]TOBEPAID!I1085/1000</f>
        <v>0</v>
      </c>
      <c r="J1424" s="19">
        <f>[1]TOBEPAID!J1085/1000</f>
        <v>0</v>
      </c>
      <c r="K1424" s="19">
        <f>[1]TOBEPAID!K1085/1000</f>
        <v>0</v>
      </c>
      <c r="L1424" s="19">
        <f>[1]TOBEPAID!L1085/1000</f>
        <v>0</v>
      </c>
      <c r="M1424" s="19">
        <f>[1]TOBEPAID!M1085/1000</f>
        <v>0</v>
      </c>
      <c r="N1424" s="19">
        <f>[1]TOBEPAID!N1085/1000</f>
        <v>5677.9281700000001</v>
      </c>
      <c r="O1424" s="19">
        <f>[1]TOBEPAID!O1085/1000</f>
        <v>0</v>
      </c>
      <c r="P1424" s="19">
        <f>[1]TOBEPAID!P1085/1000</f>
        <v>0</v>
      </c>
      <c r="Q1424" s="19">
        <f>[1]TOBEPAID!Q1085/1000</f>
        <v>0</v>
      </c>
      <c r="R1424" s="19">
        <v>0</v>
      </c>
      <c r="S1424" s="19">
        <f>[1]TOBEPAID!S1085/1000</f>
        <v>0</v>
      </c>
      <c r="T1424" s="19">
        <f>[1]TOBEPAID!T1085/1000</f>
        <v>0</v>
      </c>
      <c r="U1424" s="19">
        <f>[1]TOBEPAID!U1085/1000</f>
        <v>0</v>
      </c>
      <c r="V1424" s="19">
        <f>[1]TOBEPAID!V1085/1000</f>
        <v>0</v>
      </c>
      <c r="W1424" s="19">
        <f>[1]TOBEPAID!W1085/1000</f>
        <v>0</v>
      </c>
      <c r="X1424" s="19">
        <f>[1]TOBEPAID!X1085/1000</f>
        <v>0</v>
      </c>
      <c r="Y1424" s="19">
        <f t="shared" si="263"/>
        <v>5677.9279999999999</v>
      </c>
      <c r="Z1424" s="19">
        <f t="shared" si="262"/>
        <v>0</v>
      </c>
      <c r="AA1424" s="19">
        <f>[1]TOBEPAID!AA1085/1000</f>
        <v>5677.9281700000001</v>
      </c>
      <c r="AB1424" s="19">
        <f>[1]TOBEPAID!AB1085/1000</f>
        <v>0</v>
      </c>
      <c r="AC1424" s="19"/>
      <c r="AD1424" s="19"/>
      <c r="AS1424" s="34"/>
    </row>
    <row r="1425" spans="1:45" x14ac:dyDescent="0.2">
      <c r="C1425" s="3" t="s">
        <v>134</v>
      </c>
      <c r="D1425" s="19">
        <f>12000000/1000</f>
        <v>12000</v>
      </c>
      <c r="E1425" s="19"/>
      <c r="F1425" s="19"/>
      <c r="G1425" s="19"/>
      <c r="H1425" s="19">
        <f>12000000/1000</f>
        <v>12000</v>
      </c>
      <c r="I1425" s="19"/>
      <c r="J1425" s="19"/>
      <c r="K1425" s="19"/>
      <c r="L1425" s="19"/>
      <c r="M1425" s="19"/>
      <c r="N1425" s="19"/>
      <c r="O1425" s="19"/>
      <c r="P1425" s="19"/>
      <c r="Q1425" s="19"/>
      <c r="R1425" s="19">
        <v>0</v>
      </c>
      <c r="S1425" s="19"/>
      <c r="T1425" s="19"/>
      <c r="U1425" s="19"/>
      <c r="V1425" s="19"/>
      <c r="W1425" s="19"/>
      <c r="X1425" s="19"/>
      <c r="Y1425" s="19">
        <f t="shared" si="263"/>
        <v>12000</v>
      </c>
      <c r="Z1425" s="19">
        <f t="shared" si="262"/>
        <v>0</v>
      </c>
      <c r="AA1425" s="19"/>
      <c r="AB1425" s="19"/>
      <c r="AC1425" s="19"/>
      <c r="AD1425" s="19"/>
      <c r="AS1425" s="34"/>
    </row>
    <row r="1426" spans="1:45" x14ac:dyDescent="0.2">
      <c r="C1426" s="3" t="s">
        <v>135</v>
      </c>
      <c r="D1426" s="19">
        <f>10718000/1000</f>
        <v>10718</v>
      </c>
      <c r="E1426" s="19"/>
      <c r="F1426" s="19"/>
      <c r="G1426" s="19"/>
      <c r="H1426" s="19">
        <f>10718000/1000</f>
        <v>10718</v>
      </c>
      <c r="I1426" s="19"/>
      <c r="J1426" s="19"/>
      <c r="K1426" s="19"/>
      <c r="L1426" s="19"/>
      <c r="M1426" s="19"/>
      <c r="N1426" s="19"/>
      <c r="O1426" s="19"/>
      <c r="P1426" s="19"/>
      <c r="Q1426" s="19"/>
      <c r="R1426" s="19">
        <v>0</v>
      </c>
      <c r="S1426" s="19"/>
      <c r="T1426" s="19"/>
      <c r="U1426" s="19"/>
      <c r="V1426" s="19"/>
      <c r="W1426" s="19"/>
      <c r="X1426" s="19"/>
      <c r="Y1426" s="19">
        <f t="shared" si="263"/>
        <v>10718</v>
      </c>
      <c r="Z1426" s="19">
        <f t="shared" si="262"/>
        <v>0</v>
      </c>
      <c r="AA1426" s="19"/>
      <c r="AB1426" s="19"/>
      <c r="AC1426" s="19"/>
      <c r="AD1426" s="19"/>
      <c r="AS1426" s="34"/>
    </row>
    <row r="1427" spans="1:45" x14ac:dyDescent="0.2">
      <c r="C1427" s="3" t="s">
        <v>78</v>
      </c>
      <c r="D1427" s="3">
        <f>6377777/1000</f>
        <v>6377.777</v>
      </c>
      <c r="H1427" s="3">
        <f>6377777.6/1000</f>
        <v>6377.7775999999994</v>
      </c>
      <c r="R1427" s="19">
        <v>0</v>
      </c>
      <c r="Y1427" s="19">
        <f t="shared" si="263"/>
        <v>6377.7775999999994</v>
      </c>
      <c r="Z1427" s="19">
        <f>+Y1427-D1427</f>
        <v>5.9999999939464033E-4</v>
      </c>
      <c r="AF1427" s="34"/>
      <c r="AG1427" s="34"/>
      <c r="AH1427" s="34"/>
      <c r="AI1427" s="34"/>
      <c r="AJ1427" s="34"/>
      <c r="AK1427" s="34"/>
      <c r="AL1427" s="34"/>
      <c r="AM1427" s="34"/>
      <c r="AN1427" s="34"/>
      <c r="AO1427" s="34"/>
      <c r="AP1427" s="34"/>
      <c r="AQ1427" s="34"/>
      <c r="AR1427" s="34"/>
      <c r="AS1427" s="34"/>
    </row>
    <row r="1428" spans="1:45" x14ac:dyDescent="0.2">
      <c r="A1428" s="18"/>
      <c r="C1428" s="17" t="s">
        <v>54</v>
      </c>
      <c r="D1428" s="19">
        <f>8844608/1000</f>
        <v>8844.6080000000002</v>
      </c>
      <c r="E1428" s="19">
        <f>[1]TOBEPAID!E1086/1000</f>
        <v>0</v>
      </c>
      <c r="F1428" s="19">
        <f>[1]TOBEPAID!F1086/1000</f>
        <v>0</v>
      </c>
      <c r="G1428" s="19">
        <f>[1]TOBEPAID!G1086/1000</f>
        <v>0</v>
      </c>
      <c r="H1428" s="19">
        <v>0</v>
      </c>
      <c r="I1428" s="19">
        <f>[1]TOBEPAID!I1086/1000</f>
        <v>0</v>
      </c>
      <c r="J1428" s="19">
        <f>[1]TOBEPAID!J1086/1000</f>
        <v>0</v>
      </c>
      <c r="K1428" s="19">
        <f>[1]TOBEPAID!K1086/1000</f>
        <v>0</v>
      </c>
      <c r="L1428" s="19">
        <f>[1]TOBEPAID!L1086/1000</f>
        <v>0</v>
      </c>
      <c r="M1428" s="19">
        <f>[1]TOBEPAID!M1086/1000</f>
        <v>0</v>
      </c>
      <c r="N1428" s="19">
        <f>[1]TOBEPAID!N1086/1000</f>
        <v>0</v>
      </c>
      <c r="O1428" s="19">
        <f>[1]TOBEPAID!O1086/1000</f>
        <v>8844.6087100000004</v>
      </c>
      <c r="P1428" s="19">
        <f>[1]TOBEPAID!P1086/1000</f>
        <v>0</v>
      </c>
      <c r="Q1428" s="19">
        <f>[1]TOBEPAID!Q1086/1000</f>
        <v>0</v>
      </c>
      <c r="R1428" s="19">
        <f>8844608/1000</f>
        <v>8844.6080000000002</v>
      </c>
      <c r="S1428" s="19">
        <f>[1]TOBEPAID!S1086/1000</f>
        <v>644.97874999999999</v>
      </c>
      <c r="T1428" s="19">
        <f>[1]TOBEPAID!T1086/1000</f>
        <v>0</v>
      </c>
      <c r="U1428" s="19">
        <f>[1]TOBEPAID!U1086/1000</f>
        <v>80.48044999999999</v>
      </c>
      <c r="V1428" s="19">
        <f>[1]TOBEPAID!V1086/1000</f>
        <v>0</v>
      </c>
      <c r="W1428" s="19">
        <f>[1]TOBEPAID!W1086/1000</f>
        <v>0</v>
      </c>
      <c r="X1428" s="19">
        <f>[1]TOBEPAID!X1086/1000</f>
        <v>8844.6087100000004</v>
      </c>
      <c r="Y1428" s="19">
        <f t="shared" si="263"/>
        <v>8844.6080000000002</v>
      </c>
      <c r="Z1428" s="19">
        <f>+D1428-Y1428</f>
        <v>0</v>
      </c>
      <c r="AA1428" s="19">
        <f>[1]TOBEPAID!AA1086/1000</f>
        <v>8844.6087100000004</v>
      </c>
      <c r="AB1428" s="19">
        <f>[1]TOBEPAID!AB1086/1000</f>
        <v>0</v>
      </c>
      <c r="AC1428" s="19"/>
      <c r="AD1428" s="19"/>
      <c r="AF1428" s="34"/>
      <c r="AG1428" s="34"/>
      <c r="AH1428" s="34"/>
      <c r="AI1428" s="34"/>
      <c r="AJ1428" s="34"/>
      <c r="AK1428" s="34"/>
      <c r="AL1428" s="34"/>
      <c r="AM1428" s="34"/>
      <c r="AN1428" s="34"/>
      <c r="AO1428" s="34"/>
      <c r="AP1428" s="34"/>
      <c r="AQ1428" s="34"/>
      <c r="AR1428" s="34"/>
      <c r="AS1428" s="34"/>
    </row>
    <row r="1429" spans="1:45" x14ac:dyDescent="0.2">
      <c r="A1429" s="18"/>
      <c r="C1429" s="31" t="s">
        <v>56</v>
      </c>
      <c r="D1429" s="19">
        <f>641909/1000</f>
        <v>641.90899999999999</v>
      </c>
      <c r="E1429" s="19">
        <f>[1]TOBEPAID!E1087/1000</f>
        <v>0</v>
      </c>
      <c r="F1429" s="19">
        <f>[1]TOBEPAID!F1087/1000</f>
        <v>0</v>
      </c>
      <c r="G1429" s="19">
        <f>[1]TOBEPAID!G1087/1000</f>
        <v>0</v>
      </c>
      <c r="H1429" s="19">
        <v>0</v>
      </c>
      <c r="I1429" s="19">
        <f>[1]TOBEPAID!I1087/1000</f>
        <v>0</v>
      </c>
      <c r="J1429" s="19">
        <f>[1]TOBEPAID!J1087/1000</f>
        <v>0</v>
      </c>
      <c r="K1429" s="19">
        <f>[1]TOBEPAID!K1087/1000</f>
        <v>0</v>
      </c>
      <c r="L1429" s="19">
        <f>[1]TOBEPAID!L1087/1000</f>
        <v>0</v>
      </c>
      <c r="M1429" s="19">
        <f>[1]TOBEPAID!M1087/1000</f>
        <v>0</v>
      </c>
      <c r="N1429" s="19">
        <f>[1]TOBEPAID!N1087/1000</f>
        <v>0</v>
      </c>
      <c r="O1429" s="19">
        <f>[1]TOBEPAID!O1087/1000</f>
        <v>494.78201000000001</v>
      </c>
      <c r="P1429" s="19">
        <f>[1]TOBEPAID!P1087/1000</f>
        <v>0</v>
      </c>
      <c r="Q1429" s="19">
        <f>[1]TOBEPAID!Q1087/1000</f>
        <v>0</v>
      </c>
      <c r="R1429" s="19">
        <f>641909/1000</f>
        <v>641.90899999999999</v>
      </c>
      <c r="S1429" s="19">
        <f>[1]TOBEPAID!S1087/1000</f>
        <v>0</v>
      </c>
      <c r="T1429" s="19">
        <f>[1]TOBEPAID!T1087/1000</f>
        <v>0</v>
      </c>
      <c r="U1429" s="19">
        <f>[1]TOBEPAID!U1087/1000</f>
        <v>0</v>
      </c>
      <c r="V1429" s="19">
        <f>[1]TOBEPAID!V1087/1000</f>
        <v>0</v>
      </c>
      <c r="W1429" s="19">
        <f>[1]TOBEPAID!W1087/1000</f>
        <v>0</v>
      </c>
      <c r="X1429" s="19">
        <f>[1]TOBEPAID!X1087/1000</f>
        <v>494.78201000000001</v>
      </c>
      <c r="Y1429" s="19">
        <f t="shared" si="263"/>
        <v>641.90899999999999</v>
      </c>
      <c r="Z1429" s="19">
        <f>+D1429-Y1429</f>
        <v>0</v>
      </c>
      <c r="AA1429" s="19">
        <f>[1]TOBEPAID!AA1087/1000</f>
        <v>494.78201000000001</v>
      </c>
      <c r="AB1429" s="19">
        <f>[1]TOBEPAID!AB1087/1000</f>
        <v>1665.18488</v>
      </c>
      <c r="AC1429" s="19"/>
      <c r="AD1429" s="19"/>
      <c r="AF1429" s="34"/>
      <c r="AG1429" s="34"/>
      <c r="AH1429" s="34"/>
      <c r="AI1429" s="34"/>
      <c r="AJ1429" s="34"/>
      <c r="AK1429" s="34"/>
      <c r="AL1429" s="34"/>
      <c r="AM1429" s="34"/>
      <c r="AN1429" s="34"/>
      <c r="AO1429" s="34"/>
      <c r="AP1429" s="34"/>
      <c r="AQ1429" s="34"/>
      <c r="AR1429" s="34"/>
      <c r="AS1429" s="34"/>
    </row>
    <row r="1430" spans="1:45" x14ac:dyDescent="0.2">
      <c r="A1430" s="18"/>
      <c r="C1430" s="17" t="str">
        <f>+C1221</f>
        <v>WB-RERP-STGNG AREA</v>
      </c>
      <c r="D1430" s="19">
        <f>5324323/1000</f>
        <v>5324.3230000000003</v>
      </c>
      <c r="E1430" s="19">
        <f>[1]TOBEPAID!E1088/1000</f>
        <v>5324.3231900000001</v>
      </c>
      <c r="F1430" s="19">
        <f>[1]TOBEPAID!F1088/1000</f>
        <v>0</v>
      </c>
      <c r="G1430" s="19">
        <f>[1]TOBEPAID!G1088/1000</f>
        <v>0</v>
      </c>
      <c r="H1430" s="19">
        <f>5324000/1000</f>
        <v>5324</v>
      </c>
      <c r="I1430" s="19">
        <f>[1]TOBEPAID!I1088/1000</f>
        <v>0</v>
      </c>
      <c r="J1430" s="19">
        <f>[1]TOBEPAID!J1088/1000</f>
        <v>0</v>
      </c>
      <c r="K1430" s="19">
        <f>[1]TOBEPAID!K1088/1000</f>
        <v>0</v>
      </c>
      <c r="L1430" s="19">
        <f>[1]TOBEPAID!L1088/1000</f>
        <v>0</v>
      </c>
      <c r="M1430" s="19">
        <f>[1]TOBEPAID!M1088/1000</f>
        <v>0</v>
      </c>
      <c r="N1430" s="19">
        <f>[1]TOBEPAID!N1088/1000</f>
        <v>5324.3231900000001</v>
      </c>
      <c r="O1430" s="19">
        <f>[1]TOBEPAID!O1088/1000</f>
        <v>0</v>
      </c>
      <c r="P1430" s="19">
        <f>[1]TOBEPAID!P1088/1000</f>
        <v>0</v>
      </c>
      <c r="Q1430" s="19">
        <f>[1]TOBEPAID!Q1088/1000</f>
        <v>0</v>
      </c>
      <c r="R1430" s="19">
        <v>0</v>
      </c>
      <c r="S1430" s="19">
        <f>[1]TOBEPAID!S1088/1000</f>
        <v>0</v>
      </c>
      <c r="T1430" s="19">
        <f>[1]TOBEPAID!T1088/1000</f>
        <v>0</v>
      </c>
      <c r="U1430" s="19">
        <f>[1]TOBEPAID!U1088/1000</f>
        <v>0</v>
      </c>
      <c r="V1430" s="19">
        <f>[1]TOBEPAID!V1088/1000</f>
        <v>0</v>
      </c>
      <c r="W1430" s="19">
        <f>[1]TOBEPAID!W1088/1000</f>
        <v>0</v>
      </c>
      <c r="X1430" s="19">
        <f>[1]TOBEPAID!X1088/1000</f>
        <v>0</v>
      </c>
      <c r="Y1430" s="19">
        <f t="shared" si="263"/>
        <v>5324</v>
      </c>
      <c r="Z1430" s="19">
        <f>+D1430-Y1430</f>
        <v>0.32300000000032014</v>
      </c>
      <c r="AA1430" s="19">
        <f>[1]TOBEPAID!AA1088/1000</f>
        <v>5324.3231900000001</v>
      </c>
      <c r="AB1430" s="19">
        <f>[1]TOBEPAID!AB1088/1000</f>
        <v>4675.6768099999999</v>
      </c>
      <c r="AC1430" s="19"/>
      <c r="AD1430" s="19"/>
      <c r="AF1430" s="34"/>
      <c r="AG1430" s="34"/>
      <c r="AH1430" s="34"/>
      <c r="AI1430" s="34"/>
      <c r="AJ1430" s="34"/>
      <c r="AK1430" s="34"/>
      <c r="AL1430" s="34"/>
      <c r="AM1430" s="34"/>
      <c r="AN1430" s="34"/>
      <c r="AO1430" s="34"/>
      <c r="AP1430" s="34"/>
      <c r="AQ1430" s="34"/>
      <c r="AR1430" s="34"/>
      <c r="AS1430" s="34"/>
    </row>
    <row r="1431" spans="1:45" x14ac:dyDescent="0.2">
      <c r="A1431" s="18"/>
      <c r="D1431" s="21" t="s">
        <v>57</v>
      </c>
      <c r="E1431" s="21" t="s">
        <v>57</v>
      </c>
      <c r="F1431" s="21" t="s">
        <v>57</v>
      </c>
      <c r="G1431" s="21"/>
      <c r="H1431" s="21" t="s">
        <v>57</v>
      </c>
      <c r="I1431" s="21" t="s">
        <v>57</v>
      </c>
      <c r="J1431" s="21" t="s">
        <v>57</v>
      </c>
      <c r="K1431" s="21" t="s">
        <v>57</v>
      </c>
      <c r="L1431" s="21" t="s">
        <v>57</v>
      </c>
      <c r="M1431" s="21"/>
      <c r="N1431" s="21" t="s">
        <v>57</v>
      </c>
      <c r="O1431" s="21" t="s">
        <v>57</v>
      </c>
      <c r="P1431" s="21" t="s">
        <v>57</v>
      </c>
      <c r="Q1431" s="21"/>
      <c r="R1431" s="21" t="s">
        <v>57</v>
      </c>
      <c r="S1431" s="21" t="s">
        <v>57</v>
      </c>
      <c r="T1431" s="21" t="s">
        <v>57</v>
      </c>
      <c r="U1431" s="21" t="s">
        <v>57</v>
      </c>
      <c r="V1431" s="21" t="s">
        <v>57</v>
      </c>
      <c r="W1431" s="21"/>
      <c r="X1431" s="21" t="s">
        <v>57</v>
      </c>
      <c r="Y1431" s="21" t="s">
        <v>57</v>
      </c>
      <c r="Z1431" s="21" t="s">
        <v>57</v>
      </c>
      <c r="AA1431" s="21" t="s">
        <v>57</v>
      </c>
      <c r="AB1431" s="21" t="s">
        <v>57</v>
      </c>
      <c r="AC1431" s="21"/>
      <c r="AD1431" s="21"/>
      <c r="AF1431" s="34"/>
      <c r="AG1431" s="34"/>
      <c r="AH1431" s="34"/>
      <c r="AI1431" s="34"/>
      <c r="AJ1431" s="34"/>
      <c r="AK1431" s="34"/>
      <c r="AL1431" s="34"/>
      <c r="AM1431" s="34"/>
      <c r="AN1431" s="34"/>
      <c r="AO1431" s="34"/>
      <c r="AP1431" s="34"/>
      <c r="AQ1431" s="34"/>
      <c r="AR1431" s="34"/>
      <c r="AS1431" s="34"/>
    </row>
    <row r="1432" spans="1:45" x14ac:dyDescent="0.2">
      <c r="A1432" s="18"/>
      <c r="D1432" s="19">
        <f>SUM(D1421:D1430)</f>
        <v>1926080.0480000002</v>
      </c>
      <c r="E1432" s="19">
        <f>SUM(E1421:E1430)</f>
        <v>285423.30712000007</v>
      </c>
      <c r="F1432" s="19">
        <f>SUM(F1421:F1430)</f>
        <v>29000</v>
      </c>
      <c r="G1432" s="19"/>
      <c r="H1432" s="19">
        <f>SUM(H1421:H1430)</f>
        <v>1900318.7605999999</v>
      </c>
      <c r="I1432" s="19">
        <f>SUM(I1421:I1430)</f>
        <v>0</v>
      </c>
      <c r="J1432" s="19">
        <f>SUM(J1421:J1430)</f>
        <v>0</v>
      </c>
      <c r="K1432" s="19">
        <f>SUM(K1421:K1430)</f>
        <v>0</v>
      </c>
      <c r="L1432" s="19">
        <f>SUM(L1421:L1430)</f>
        <v>0</v>
      </c>
      <c r="M1432" s="19"/>
      <c r="N1432" s="19">
        <f>SUM(N1421:N1430)</f>
        <v>314423.30712000007</v>
      </c>
      <c r="O1432" s="19">
        <f>SUM(O1421:O1430)</f>
        <v>24366.784329999999</v>
      </c>
      <c r="P1432" s="19">
        <f>SUM(P1421:P1430)</f>
        <v>0</v>
      </c>
      <c r="Q1432" s="19"/>
      <c r="R1432" s="19">
        <f>SUM(R1421:R1430)</f>
        <v>27302.681</v>
      </c>
      <c r="S1432" s="19">
        <f>SUM(S1421:S1430)</f>
        <v>1629.5260299999995</v>
      </c>
      <c r="T1432" s="19">
        <f>SUM(T1421:T1430)</f>
        <v>0</v>
      </c>
      <c r="U1432" s="19">
        <f>SUM(U1421:U1430)</f>
        <v>2125.6468199999999</v>
      </c>
      <c r="V1432" s="19">
        <f>SUM(V1421:V1430)</f>
        <v>0</v>
      </c>
      <c r="W1432" s="19"/>
      <c r="X1432" s="19">
        <f>SUM(X1421:X1430)</f>
        <v>24366.784329999999</v>
      </c>
      <c r="Y1432" s="19">
        <f>SUM(Y1421:Y1430)</f>
        <v>1927621.4416</v>
      </c>
      <c r="Z1432" s="19">
        <f>SUM(Z1421:Z1430)</f>
        <v>-1541.3924000000079</v>
      </c>
      <c r="AA1432" s="19">
        <f>SUM(AA1421:AA1430)</f>
        <v>338790.09145000007</v>
      </c>
      <c r="AB1432" s="19">
        <f>SUM(AB1421:AB1430)</f>
        <v>8194.1816900000049</v>
      </c>
      <c r="AC1432" s="19"/>
      <c r="AD1432" s="19"/>
      <c r="AF1432" s="34"/>
      <c r="AG1432" s="34"/>
      <c r="AH1432" s="34"/>
      <c r="AI1432" s="34"/>
      <c r="AJ1432" s="34"/>
      <c r="AK1432" s="34"/>
      <c r="AL1432" s="34"/>
      <c r="AM1432" s="34"/>
      <c r="AN1432" s="34"/>
      <c r="AO1432" s="34"/>
      <c r="AP1432" s="34"/>
      <c r="AQ1432" s="34"/>
      <c r="AR1432" s="34"/>
      <c r="AS1432" s="34"/>
    </row>
    <row r="1433" spans="1:45" x14ac:dyDescent="0.2">
      <c r="A1433" s="18"/>
      <c r="B1433" s="9"/>
      <c r="D1433" s="21" t="s">
        <v>57</v>
      </c>
      <c r="E1433" s="21" t="s">
        <v>57</v>
      </c>
      <c r="F1433" s="21" t="s">
        <v>57</v>
      </c>
      <c r="G1433" s="21"/>
      <c r="H1433" s="21" t="s">
        <v>57</v>
      </c>
      <c r="I1433" s="21" t="s">
        <v>57</v>
      </c>
      <c r="J1433" s="21" t="s">
        <v>57</v>
      </c>
      <c r="K1433" s="21" t="s">
        <v>57</v>
      </c>
      <c r="L1433" s="21" t="s">
        <v>57</v>
      </c>
      <c r="M1433" s="21"/>
      <c r="N1433" s="21" t="s">
        <v>57</v>
      </c>
      <c r="O1433" s="21" t="s">
        <v>57</v>
      </c>
      <c r="P1433" s="21" t="s">
        <v>57</v>
      </c>
      <c r="Q1433" s="21"/>
      <c r="R1433" s="21" t="s">
        <v>57</v>
      </c>
      <c r="S1433" s="21" t="s">
        <v>57</v>
      </c>
      <c r="T1433" s="21" t="s">
        <v>57</v>
      </c>
      <c r="U1433" s="21" t="s">
        <v>57</v>
      </c>
      <c r="V1433" s="21" t="s">
        <v>57</v>
      </c>
      <c r="W1433" s="21"/>
      <c r="X1433" s="21" t="s">
        <v>57</v>
      </c>
      <c r="Y1433" s="21" t="s">
        <v>57</v>
      </c>
      <c r="Z1433" s="21" t="s">
        <v>57</v>
      </c>
      <c r="AA1433" s="21" t="s">
        <v>57</v>
      </c>
      <c r="AB1433" s="21" t="s">
        <v>57</v>
      </c>
      <c r="AC1433" s="21"/>
      <c r="AD1433" s="21"/>
      <c r="AF1433" s="34"/>
      <c r="AG1433" s="34"/>
      <c r="AH1433" s="34"/>
      <c r="AI1433" s="34"/>
      <c r="AJ1433" s="34"/>
      <c r="AK1433" s="34"/>
      <c r="AL1433" s="34"/>
      <c r="AM1433" s="34"/>
      <c r="AN1433" s="34"/>
      <c r="AO1433" s="34"/>
      <c r="AP1433" s="34"/>
      <c r="AQ1433" s="34"/>
      <c r="AR1433" s="34"/>
      <c r="AS1433" s="34"/>
    </row>
    <row r="1434" spans="1:45" x14ac:dyDescent="0.2">
      <c r="A1434" s="18"/>
      <c r="B1434" s="9"/>
      <c r="D1434" s="21"/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63"/>
      <c r="P1434" s="28"/>
      <c r="Q1434" s="28"/>
      <c r="R1434" s="21"/>
      <c r="S1434" s="21"/>
      <c r="T1434" s="21"/>
      <c r="U1434" s="21"/>
      <c r="V1434" s="21"/>
      <c r="W1434" s="21"/>
      <c r="X1434" s="21"/>
      <c r="Y1434" s="21"/>
      <c r="Z1434" s="21"/>
      <c r="AA1434" s="21"/>
      <c r="AB1434" s="21"/>
      <c r="AC1434" s="21"/>
      <c r="AD1434" s="21"/>
      <c r="AF1434" s="34"/>
      <c r="AG1434" s="34"/>
      <c r="AH1434" s="34"/>
      <c r="AI1434" s="34"/>
      <c r="AJ1434" s="34"/>
      <c r="AK1434" s="34"/>
      <c r="AL1434" s="34"/>
      <c r="AM1434" s="34"/>
      <c r="AN1434" s="34"/>
      <c r="AO1434" s="34"/>
      <c r="AP1434" s="34"/>
      <c r="AQ1434" s="34"/>
      <c r="AR1434" s="34"/>
      <c r="AS1434" s="34"/>
    </row>
    <row r="1435" spans="1:45" x14ac:dyDescent="0.2">
      <c r="A1435" s="18">
        <v>114</v>
      </c>
      <c r="B1435" s="17" t="s">
        <v>390</v>
      </c>
      <c r="C1435" s="17" t="s">
        <v>51</v>
      </c>
      <c r="D1435" s="19">
        <f>96801698/1000</f>
        <v>96801.698000000004</v>
      </c>
      <c r="E1435" s="19">
        <f>[1]TOBEPAID!E1093/1000</f>
        <v>0</v>
      </c>
      <c r="F1435" s="19">
        <f>[1]TOBEPAID!F1093/1000</f>
        <v>0</v>
      </c>
      <c r="G1435" s="19">
        <f>[1]TOBEPAID!G1093/1000</f>
        <v>0</v>
      </c>
      <c r="H1435" s="19">
        <f>96801000/1000</f>
        <v>96801</v>
      </c>
      <c r="I1435" s="19">
        <f>[1]TOBEPAID!I1093/1000</f>
        <v>0</v>
      </c>
      <c r="J1435" s="19">
        <f>[1]TOBEPAID!J1093/1000</f>
        <v>0</v>
      </c>
      <c r="K1435" s="19">
        <f>[1]TOBEPAID!K1093/1000</f>
        <v>0</v>
      </c>
      <c r="L1435" s="19">
        <f>[1]TOBEPAID!L1093/1000</f>
        <v>0</v>
      </c>
      <c r="M1435" s="19">
        <f>[1]TOBEPAID!M1093/1000</f>
        <v>0</v>
      </c>
      <c r="N1435" s="19">
        <f>[1]TOBEPAID!N1093/1000</f>
        <v>0</v>
      </c>
      <c r="O1435" s="19">
        <f>[1]TOBEPAID!O1093/1000</f>
        <v>0</v>
      </c>
      <c r="P1435" s="19">
        <f>[1]TOBEPAID!P1093/1000</f>
        <v>0</v>
      </c>
      <c r="Q1435" s="19">
        <f>[1]TOBEPAID!Q1093/1000</f>
        <v>0</v>
      </c>
      <c r="R1435" s="19">
        <v>0</v>
      </c>
      <c r="S1435" s="19">
        <f>[1]TOBEPAID!S1093/1000</f>
        <v>0</v>
      </c>
      <c r="T1435" s="19">
        <f>[1]TOBEPAID!T1093/1000</f>
        <v>0</v>
      </c>
      <c r="U1435" s="19">
        <f>[1]TOBEPAID!U1093/1000</f>
        <v>0</v>
      </c>
      <c r="V1435" s="19">
        <f>[1]TOBEPAID!V1093/1000</f>
        <v>0</v>
      </c>
      <c r="W1435" s="19">
        <f>[1]TOBEPAID!W1093/1000</f>
        <v>0</v>
      </c>
      <c r="X1435" s="19">
        <f>[1]TOBEPAID!X1093/1000</f>
        <v>0</v>
      </c>
      <c r="Y1435" s="19">
        <f t="shared" ref="Y1435:Y1440" si="264">+H1435+R1435</f>
        <v>96801</v>
      </c>
      <c r="Z1435" s="19">
        <f t="shared" ref="Z1435:Z1440" si="265">+D1435-Y1435</f>
        <v>0.69800000000395812</v>
      </c>
      <c r="AA1435" s="19">
        <f>[1]TOBEPAID!AA1093/1000</f>
        <v>0</v>
      </c>
      <c r="AB1435" s="19">
        <f>[1]TOBEPAID!AB1093/1000</f>
        <v>86825.555999999997</v>
      </c>
      <c r="AC1435" s="19"/>
      <c r="AD1435" s="19"/>
      <c r="AF1435" s="34"/>
      <c r="AG1435" s="34"/>
      <c r="AH1435" s="34"/>
      <c r="AI1435" s="34"/>
      <c r="AJ1435" s="34"/>
      <c r="AK1435" s="34"/>
      <c r="AL1435" s="34"/>
      <c r="AM1435" s="34"/>
      <c r="AN1435" s="34"/>
      <c r="AO1435" s="34"/>
      <c r="AP1435" s="34"/>
      <c r="AQ1435" s="34"/>
      <c r="AR1435" s="34"/>
    </row>
    <row r="1436" spans="1:45" x14ac:dyDescent="0.2">
      <c r="A1436" s="18"/>
      <c r="C1436" s="20" t="s">
        <v>52</v>
      </c>
      <c r="D1436" s="19">
        <f>1250400/1000</f>
        <v>1250.4000000000001</v>
      </c>
      <c r="E1436" s="19">
        <f>[1]TOBEPAID!E1094/1000</f>
        <v>1250.40057</v>
      </c>
      <c r="F1436" s="19">
        <f>[1]TOBEPAID!F1094/1000</f>
        <v>0</v>
      </c>
      <c r="G1436" s="19">
        <f>[1]TOBEPAID!G1094/1000</f>
        <v>0</v>
      </c>
      <c r="H1436" s="19">
        <f>1250400/1000</f>
        <v>1250.4000000000001</v>
      </c>
      <c r="I1436" s="19">
        <f>[1]TOBEPAID!I1094/1000</f>
        <v>0</v>
      </c>
      <c r="J1436" s="19">
        <f>[1]TOBEPAID!J1094/1000</f>
        <v>0</v>
      </c>
      <c r="K1436" s="19">
        <f>[1]TOBEPAID!K1094/1000</f>
        <v>0</v>
      </c>
      <c r="L1436" s="19">
        <f>[1]TOBEPAID!L1094/1000</f>
        <v>0</v>
      </c>
      <c r="M1436" s="19">
        <f>[1]TOBEPAID!M1094/1000</f>
        <v>0</v>
      </c>
      <c r="N1436" s="19">
        <f>[1]TOBEPAID!N1094/1000</f>
        <v>1250.40057</v>
      </c>
      <c r="O1436" s="19">
        <f>[1]TOBEPAID!O1094/1000</f>
        <v>0</v>
      </c>
      <c r="P1436" s="19">
        <f>[1]TOBEPAID!P1094/1000</f>
        <v>0</v>
      </c>
      <c r="Q1436" s="19">
        <f>[1]TOBEPAID!Q1094/1000</f>
        <v>0</v>
      </c>
      <c r="R1436" s="19">
        <v>0</v>
      </c>
      <c r="S1436" s="19">
        <f>[1]TOBEPAID!S1094/1000</f>
        <v>0</v>
      </c>
      <c r="T1436" s="19">
        <f>[1]TOBEPAID!T1094/1000</f>
        <v>0</v>
      </c>
      <c r="U1436" s="19">
        <f>[1]TOBEPAID!U1094/1000</f>
        <v>0</v>
      </c>
      <c r="V1436" s="19">
        <f>[1]TOBEPAID!V1094/1000</f>
        <v>0</v>
      </c>
      <c r="W1436" s="19">
        <f>[1]TOBEPAID!W1094/1000</f>
        <v>0</v>
      </c>
      <c r="X1436" s="19">
        <f>[1]TOBEPAID!X1094/1000</f>
        <v>0</v>
      </c>
      <c r="Y1436" s="19">
        <f t="shared" si="264"/>
        <v>1250.4000000000001</v>
      </c>
      <c r="Z1436" s="19">
        <f t="shared" si="265"/>
        <v>0</v>
      </c>
      <c r="AA1436" s="19">
        <f>[1]TOBEPAID!AA1094/1000</f>
        <v>1250.40057</v>
      </c>
      <c r="AB1436" s="19">
        <f>[1]TOBEPAID!AB1094/1000</f>
        <v>0</v>
      </c>
      <c r="AC1436" s="19"/>
      <c r="AD1436" s="19"/>
      <c r="AS1436" s="34"/>
    </row>
    <row r="1437" spans="1:45" x14ac:dyDescent="0.2">
      <c r="C1437" s="3" t="s">
        <v>62</v>
      </c>
      <c r="D1437" s="19">
        <f>3000000/1000</f>
        <v>3000</v>
      </c>
      <c r="E1437" s="19">
        <f>[1]TOBEPAID!E1095/1000</f>
        <v>3000</v>
      </c>
      <c r="F1437" s="19">
        <f>[1]TOBEPAID!F1095/1000</f>
        <v>0</v>
      </c>
      <c r="G1437" s="19">
        <f>[1]TOBEPAID!G1095/1000</f>
        <v>0</v>
      </c>
      <c r="H1437" s="19">
        <f>3000000/1000</f>
        <v>3000</v>
      </c>
      <c r="I1437" s="19">
        <f>[1]TOBEPAID!I1095/1000</f>
        <v>0</v>
      </c>
      <c r="J1437" s="19">
        <f>[1]TOBEPAID!J1095/1000</f>
        <v>0</v>
      </c>
      <c r="K1437" s="19">
        <f>[1]TOBEPAID!K1095/1000</f>
        <v>0</v>
      </c>
      <c r="L1437" s="19">
        <f>[1]TOBEPAID!L1095/1000</f>
        <v>0</v>
      </c>
      <c r="M1437" s="19">
        <f>[1]TOBEPAID!M1095/1000</f>
        <v>0</v>
      </c>
      <c r="N1437" s="19">
        <f>[1]TOBEPAID!N1095/1000</f>
        <v>3000</v>
      </c>
      <c r="O1437" s="19">
        <f>[1]TOBEPAID!O1095/1000</f>
        <v>0</v>
      </c>
      <c r="P1437" s="19">
        <f>[1]TOBEPAID!P1095/1000</f>
        <v>0</v>
      </c>
      <c r="Q1437" s="19">
        <f>[1]TOBEPAID!Q1095/1000</f>
        <v>0</v>
      </c>
      <c r="R1437" s="19">
        <v>0</v>
      </c>
      <c r="S1437" s="19">
        <f>[1]TOBEPAID!S1095/1000</f>
        <v>0</v>
      </c>
      <c r="T1437" s="19">
        <f>[1]TOBEPAID!T1095/1000</f>
        <v>0</v>
      </c>
      <c r="U1437" s="19">
        <f>[1]TOBEPAID!U1095/1000</f>
        <v>0</v>
      </c>
      <c r="V1437" s="19">
        <f>[1]TOBEPAID!V1095/1000</f>
        <v>0</v>
      </c>
      <c r="W1437" s="19">
        <f>[1]TOBEPAID!W1095/1000</f>
        <v>0</v>
      </c>
      <c r="X1437" s="19">
        <f>[1]TOBEPAID!X1095/1000</f>
        <v>0</v>
      </c>
      <c r="Y1437" s="19">
        <f t="shared" si="264"/>
        <v>3000</v>
      </c>
      <c r="Z1437" s="19">
        <f t="shared" si="265"/>
        <v>0</v>
      </c>
      <c r="AA1437" s="19">
        <f>[1]TOBEPAID!AA1095/1000</f>
        <v>3000</v>
      </c>
      <c r="AB1437" s="19">
        <f>[1]TOBEPAID!AB1095/1000</f>
        <v>0</v>
      </c>
      <c r="AC1437" s="19"/>
      <c r="AD1437" s="19"/>
      <c r="AF1437" s="34"/>
      <c r="AG1437" s="34"/>
      <c r="AH1437" s="34"/>
      <c r="AI1437" s="34"/>
      <c r="AJ1437" s="34"/>
      <c r="AK1437" s="34"/>
      <c r="AL1437" s="34"/>
      <c r="AM1437" s="34"/>
      <c r="AN1437" s="34"/>
      <c r="AO1437" s="34"/>
      <c r="AP1437" s="34"/>
      <c r="AQ1437" s="34"/>
      <c r="AR1437" s="34"/>
      <c r="AS1437" s="34"/>
    </row>
    <row r="1438" spans="1:45" x14ac:dyDescent="0.2">
      <c r="A1438" s="18"/>
      <c r="C1438" s="20" t="s">
        <v>97</v>
      </c>
      <c r="D1438" s="19">
        <v>0</v>
      </c>
      <c r="E1438" s="19">
        <f>[1]TOBEPAID!E1096/1000</f>
        <v>0</v>
      </c>
      <c r="F1438" s="19">
        <f>[1]TOBEPAID!F1096/1000</f>
        <v>0</v>
      </c>
      <c r="G1438" s="19">
        <f>[1]TOBEPAID!G1096/1000</f>
        <v>0</v>
      </c>
      <c r="H1438" s="19">
        <v>0</v>
      </c>
      <c r="I1438" s="19">
        <f>[1]TOBEPAID!I1096/1000</f>
        <v>0</v>
      </c>
      <c r="J1438" s="19">
        <f>[1]TOBEPAID!J1096/1000</f>
        <v>0</v>
      </c>
      <c r="K1438" s="19">
        <f>[1]TOBEPAID!K1096/1000</f>
        <v>0</v>
      </c>
      <c r="L1438" s="19">
        <f>[1]TOBEPAID!L1096/1000</f>
        <v>0</v>
      </c>
      <c r="M1438" s="19">
        <f>[1]TOBEPAID!M1096/1000</f>
        <v>0</v>
      </c>
      <c r="N1438" s="19">
        <f>[1]TOBEPAID!N1096/1000</f>
        <v>0</v>
      </c>
      <c r="O1438" s="19">
        <f>[1]TOBEPAID!O1096/1000</f>
        <v>0</v>
      </c>
      <c r="P1438" s="19">
        <f>[1]TOBEPAID!P1096/1000</f>
        <v>0</v>
      </c>
      <c r="Q1438" s="19">
        <f>[1]TOBEPAID!Q1096/1000</f>
        <v>0</v>
      </c>
      <c r="R1438" s="19">
        <v>0</v>
      </c>
      <c r="S1438" s="19">
        <f>[1]TOBEPAID!S1096/1000</f>
        <v>0</v>
      </c>
      <c r="T1438" s="19">
        <f>[1]TOBEPAID!T1096/1000</f>
        <v>0</v>
      </c>
      <c r="U1438" s="19">
        <f>[1]TOBEPAID!U1096/1000</f>
        <v>0</v>
      </c>
      <c r="V1438" s="19">
        <f>[1]TOBEPAID!V1096/1000</f>
        <v>0</v>
      </c>
      <c r="W1438" s="19">
        <f>[1]TOBEPAID!W1096/1000</f>
        <v>0</v>
      </c>
      <c r="X1438" s="19">
        <f>[1]TOBEPAID!X1096/1000</f>
        <v>0</v>
      </c>
      <c r="Y1438" s="19">
        <f t="shared" si="264"/>
        <v>0</v>
      </c>
      <c r="Z1438" s="19">
        <f t="shared" si="265"/>
        <v>0</v>
      </c>
      <c r="AA1438" s="19">
        <f>[1]TOBEPAID!AA1096/1000</f>
        <v>0</v>
      </c>
      <c r="AB1438" s="19">
        <f>[1]TOBEPAID!AB1096/1000</f>
        <v>0</v>
      </c>
      <c r="AC1438" s="19"/>
      <c r="AD1438" s="19"/>
      <c r="AF1438" s="34"/>
      <c r="AG1438" s="34"/>
      <c r="AH1438" s="34"/>
      <c r="AI1438" s="34"/>
      <c r="AJ1438" s="34"/>
      <c r="AK1438" s="34"/>
      <c r="AL1438" s="34"/>
      <c r="AM1438" s="34"/>
      <c r="AN1438" s="34"/>
      <c r="AO1438" s="34"/>
      <c r="AP1438" s="34"/>
      <c r="AQ1438" s="34"/>
      <c r="AR1438" s="34"/>
      <c r="AS1438" s="34"/>
    </row>
    <row r="1439" spans="1:45" x14ac:dyDescent="0.2">
      <c r="A1439" s="18"/>
      <c r="C1439" s="17" t="s">
        <v>54</v>
      </c>
      <c r="D1439" s="19">
        <v>0</v>
      </c>
      <c r="E1439" s="19">
        <f>[1]TOBEPAID!E1097/1000</f>
        <v>0</v>
      </c>
      <c r="F1439" s="19">
        <f>[1]TOBEPAID!F1097/1000</f>
        <v>0</v>
      </c>
      <c r="G1439" s="19">
        <f>[1]TOBEPAID!G1097/1000</f>
        <v>0</v>
      </c>
      <c r="H1439" s="19">
        <v>0</v>
      </c>
      <c r="I1439" s="19">
        <f>[1]TOBEPAID!I1097/1000</f>
        <v>0</v>
      </c>
      <c r="J1439" s="19">
        <f>[1]TOBEPAID!J1097/1000</f>
        <v>0</v>
      </c>
      <c r="K1439" s="19">
        <f>[1]TOBEPAID!K1097/1000</f>
        <v>0</v>
      </c>
      <c r="L1439" s="19">
        <f>[1]TOBEPAID!L1097/1000</f>
        <v>0</v>
      </c>
      <c r="M1439" s="19">
        <f>[1]TOBEPAID!M1097/1000</f>
        <v>0</v>
      </c>
      <c r="N1439" s="19">
        <f>[1]TOBEPAID!N1097/1000</f>
        <v>0</v>
      </c>
      <c r="O1439" s="19">
        <f>[1]TOBEPAID!O1097/1000</f>
        <v>0</v>
      </c>
      <c r="P1439" s="19">
        <f>[1]TOBEPAID!P1097/1000</f>
        <v>0</v>
      </c>
      <c r="Q1439" s="19">
        <f>[1]TOBEPAID!Q1097/1000</f>
        <v>0</v>
      </c>
      <c r="R1439" s="19">
        <v>0</v>
      </c>
      <c r="S1439" s="19">
        <f>[1]TOBEPAID!S1097/1000</f>
        <v>0</v>
      </c>
      <c r="T1439" s="19">
        <f>[1]TOBEPAID!T1097/1000</f>
        <v>0</v>
      </c>
      <c r="U1439" s="19">
        <f>[1]TOBEPAID!U1097/1000</f>
        <v>0</v>
      </c>
      <c r="V1439" s="19">
        <f>[1]TOBEPAID!V1097/1000</f>
        <v>0</v>
      </c>
      <c r="W1439" s="19">
        <f>[1]TOBEPAID!W1097/1000</f>
        <v>0</v>
      </c>
      <c r="X1439" s="19">
        <f>[1]TOBEPAID!X1097/1000</f>
        <v>0</v>
      </c>
      <c r="Y1439" s="19">
        <f t="shared" si="264"/>
        <v>0</v>
      </c>
      <c r="Z1439" s="19">
        <f t="shared" si="265"/>
        <v>0</v>
      </c>
      <c r="AA1439" s="19">
        <f>[1]TOBEPAID!AA1097/1000</f>
        <v>0</v>
      </c>
      <c r="AB1439" s="19">
        <f>[1]TOBEPAID!AB1097/1000</f>
        <v>7827.2352899999996</v>
      </c>
      <c r="AC1439" s="19"/>
      <c r="AD1439" s="19"/>
      <c r="AF1439" s="34"/>
      <c r="AG1439" s="34"/>
      <c r="AH1439" s="34"/>
      <c r="AI1439" s="34"/>
      <c r="AJ1439" s="34"/>
      <c r="AK1439" s="34"/>
      <c r="AL1439" s="34"/>
      <c r="AM1439" s="34"/>
      <c r="AN1439" s="34"/>
      <c r="AO1439" s="34"/>
      <c r="AP1439" s="34"/>
      <c r="AQ1439" s="34"/>
      <c r="AR1439" s="34"/>
      <c r="AS1439" s="34"/>
    </row>
    <row r="1440" spans="1:45" x14ac:dyDescent="0.2">
      <c r="A1440" s="18"/>
      <c r="C1440" s="31" t="s">
        <v>56</v>
      </c>
      <c r="D1440" s="19">
        <v>0</v>
      </c>
      <c r="E1440" s="19">
        <f>[1]TOBEPAID!E1098/1000</f>
        <v>0</v>
      </c>
      <c r="F1440" s="19">
        <f>[1]TOBEPAID!F1098/1000</f>
        <v>0</v>
      </c>
      <c r="G1440" s="19">
        <f>[1]TOBEPAID!G1098/1000</f>
        <v>0</v>
      </c>
      <c r="H1440" s="19">
        <v>0</v>
      </c>
      <c r="I1440" s="19">
        <f>[1]TOBEPAID!I1098/1000</f>
        <v>0</v>
      </c>
      <c r="J1440" s="19">
        <f>[1]TOBEPAID!J1098/1000</f>
        <v>0</v>
      </c>
      <c r="K1440" s="19">
        <f>[1]TOBEPAID!K1098/1000</f>
        <v>0</v>
      </c>
      <c r="L1440" s="19">
        <f>[1]TOBEPAID!L1098/1000</f>
        <v>0</v>
      </c>
      <c r="M1440" s="19">
        <f>[1]TOBEPAID!M1098/1000</f>
        <v>0</v>
      </c>
      <c r="N1440" s="19">
        <f>[1]TOBEPAID!N1098/1000</f>
        <v>0</v>
      </c>
      <c r="O1440" s="19">
        <f>[1]TOBEPAID!O1098/1000</f>
        <v>0</v>
      </c>
      <c r="P1440" s="19">
        <f>[1]TOBEPAID!P1098/1000</f>
        <v>0</v>
      </c>
      <c r="Q1440" s="19">
        <f>[1]TOBEPAID!Q1098/1000</f>
        <v>0</v>
      </c>
      <c r="R1440" s="19">
        <v>0</v>
      </c>
      <c r="S1440" s="19">
        <f>[1]TOBEPAID!S1098/1000</f>
        <v>0</v>
      </c>
      <c r="T1440" s="19">
        <f>[1]TOBEPAID!T1098/1000</f>
        <v>0</v>
      </c>
      <c r="U1440" s="19">
        <f>[1]TOBEPAID!U1098/1000</f>
        <v>0</v>
      </c>
      <c r="V1440" s="19">
        <f>[1]TOBEPAID!V1098/1000</f>
        <v>0</v>
      </c>
      <c r="W1440" s="19">
        <f>[1]TOBEPAID!W1098/1000</f>
        <v>0</v>
      </c>
      <c r="X1440" s="19">
        <f>[1]TOBEPAID!X1098/1000</f>
        <v>0</v>
      </c>
      <c r="Y1440" s="19">
        <f t="shared" si="264"/>
        <v>0</v>
      </c>
      <c r="Z1440" s="19">
        <f t="shared" si="265"/>
        <v>0</v>
      </c>
      <c r="AA1440" s="19">
        <f>[1]TOBEPAID!AA1098/1000</f>
        <v>0</v>
      </c>
      <c r="AB1440" s="19">
        <f>[1]TOBEPAID!AB1098/1000</f>
        <v>2148.90744</v>
      </c>
      <c r="AC1440" s="19"/>
      <c r="AD1440" s="19"/>
      <c r="AF1440" s="34"/>
      <c r="AG1440" s="34"/>
      <c r="AH1440" s="34"/>
      <c r="AI1440" s="34"/>
      <c r="AJ1440" s="34"/>
      <c r="AK1440" s="34"/>
      <c r="AL1440" s="34"/>
      <c r="AM1440" s="34"/>
      <c r="AN1440" s="34"/>
      <c r="AO1440" s="34"/>
      <c r="AP1440" s="34"/>
      <c r="AQ1440" s="34"/>
      <c r="AR1440" s="34"/>
      <c r="AS1440" s="34"/>
    </row>
    <row r="1441" spans="1:45" x14ac:dyDescent="0.2">
      <c r="A1441" s="18"/>
      <c r="D1441" s="21" t="s">
        <v>57</v>
      </c>
      <c r="E1441" s="21" t="s">
        <v>57</v>
      </c>
      <c r="F1441" s="21" t="s">
        <v>57</v>
      </c>
      <c r="G1441" s="21"/>
      <c r="H1441" s="21" t="s">
        <v>57</v>
      </c>
      <c r="I1441" s="21" t="s">
        <v>57</v>
      </c>
      <c r="J1441" s="21" t="s">
        <v>57</v>
      </c>
      <c r="K1441" s="21" t="s">
        <v>57</v>
      </c>
      <c r="L1441" s="21" t="s">
        <v>57</v>
      </c>
      <c r="M1441" s="21"/>
      <c r="N1441" s="21" t="s">
        <v>57</v>
      </c>
      <c r="O1441" s="21" t="s">
        <v>57</v>
      </c>
      <c r="P1441" s="21" t="s">
        <v>57</v>
      </c>
      <c r="Q1441" s="21"/>
      <c r="R1441" s="21" t="s">
        <v>57</v>
      </c>
      <c r="S1441" s="21" t="s">
        <v>57</v>
      </c>
      <c r="T1441" s="21" t="s">
        <v>57</v>
      </c>
      <c r="U1441" s="21" t="s">
        <v>57</v>
      </c>
      <c r="V1441" s="21" t="s">
        <v>57</v>
      </c>
      <c r="W1441" s="21"/>
      <c r="X1441" s="21" t="s">
        <v>57</v>
      </c>
      <c r="Y1441" s="21" t="s">
        <v>57</v>
      </c>
      <c r="Z1441" s="21" t="s">
        <v>57</v>
      </c>
      <c r="AA1441" s="21" t="s">
        <v>57</v>
      </c>
      <c r="AB1441" s="21" t="s">
        <v>57</v>
      </c>
      <c r="AC1441" s="21"/>
      <c r="AD1441" s="21"/>
      <c r="AF1441" s="34"/>
      <c r="AG1441" s="34"/>
      <c r="AH1441" s="34"/>
      <c r="AI1441" s="34"/>
      <c r="AJ1441" s="34"/>
      <c r="AK1441" s="34"/>
      <c r="AL1441" s="34"/>
      <c r="AM1441" s="34"/>
      <c r="AN1441" s="34"/>
      <c r="AO1441" s="34"/>
      <c r="AP1441" s="34"/>
      <c r="AQ1441" s="34"/>
      <c r="AR1441" s="34"/>
      <c r="AS1441" s="34"/>
    </row>
    <row r="1442" spans="1:45" x14ac:dyDescent="0.2">
      <c r="A1442" s="18"/>
      <c r="D1442" s="19">
        <f>SUM(D1435:D1440)</f>
        <v>101052.098</v>
      </c>
      <c r="E1442" s="19">
        <f>SUM(E1435:E1440)</f>
        <v>4250.4005699999998</v>
      </c>
      <c r="F1442" s="19">
        <f>SUM(F1435:F1440)</f>
        <v>0</v>
      </c>
      <c r="G1442" s="19"/>
      <c r="H1442" s="19">
        <f>SUM(H1435:H1440)</f>
        <v>101051.4</v>
      </c>
      <c r="I1442" s="19">
        <f>SUM(I1435:I1440)</f>
        <v>0</v>
      </c>
      <c r="J1442" s="19">
        <f>SUM(J1435:J1440)</f>
        <v>0</v>
      </c>
      <c r="K1442" s="19">
        <f>SUM(K1435:K1440)</f>
        <v>0</v>
      </c>
      <c r="L1442" s="19">
        <f>SUM(L1435:L1440)</f>
        <v>0</v>
      </c>
      <c r="M1442" s="19"/>
      <c r="N1442" s="19">
        <f>SUM(N1435:N1440)</f>
        <v>4250.4005699999998</v>
      </c>
      <c r="O1442" s="19">
        <f>SUM(O1435:O1440)</f>
        <v>0</v>
      </c>
      <c r="P1442" s="19">
        <f>SUM(P1435:P1440)</f>
        <v>0</v>
      </c>
      <c r="Q1442" s="19"/>
      <c r="R1442" s="19">
        <f>SUM(R1435:R1440)</f>
        <v>0</v>
      </c>
      <c r="S1442" s="19">
        <f>SUM(S1435:S1440)</f>
        <v>0</v>
      </c>
      <c r="T1442" s="19">
        <f>SUM(T1435:T1440)</f>
        <v>0</v>
      </c>
      <c r="U1442" s="19">
        <f>SUM(U1435:U1440)</f>
        <v>0</v>
      </c>
      <c r="V1442" s="19">
        <f>SUM(V1435:V1440)</f>
        <v>0</v>
      </c>
      <c r="W1442" s="19"/>
      <c r="X1442" s="19">
        <f>SUM(X1435:X1440)</f>
        <v>0</v>
      </c>
      <c r="Y1442" s="19">
        <f>SUM(Y1435:Y1440)</f>
        <v>101051.4</v>
      </c>
      <c r="Z1442" s="19">
        <f>SUM(Z1435:Z1440)</f>
        <v>0.69800000000395812</v>
      </c>
      <c r="AA1442" s="19">
        <f>SUM(AA1435:AA1440)</f>
        <v>4250.4005699999998</v>
      </c>
      <c r="AB1442" s="19">
        <f>SUM(AB1435:AB1440)</f>
        <v>96801.698729999989</v>
      </c>
      <c r="AC1442" s="19"/>
      <c r="AD1442" s="19"/>
      <c r="AF1442" s="34"/>
      <c r="AG1442" s="34"/>
      <c r="AH1442" s="34"/>
      <c r="AI1442" s="34"/>
      <c r="AJ1442" s="34"/>
      <c r="AK1442" s="34"/>
      <c r="AL1442" s="34"/>
      <c r="AM1442" s="34"/>
      <c r="AN1442" s="34"/>
      <c r="AO1442" s="34"/>
      <c r="AP1442" s="34"/>
      <c r="AQ1442" s="34"/>
      <c r="AR1442" s="34"/>
      <c r="AS1442" s="34">
        <f t="shared" ref="AS1442:AS1451" si="266">+AF1443-AP1443-AK1443</f>
        <v>-1.6999999934341758E-4</v>
      </c>
    </row>
    <row r="1443" spans="1:45" x14ac:dyDescent="0.2">
      <c r="A1443" s="18"/>
      <c r="D1443" s="21" t="s">
        <v>57</v>
      </c>
      <c r="E1443" s="21" t="s">
        <v>57</v>
      </c>
      <c r="F1443" s="21" t="s">
        <v>57</v>
      </c>
      <c r="G1443" s="21"/>
      <c r="H1443" s="21" t="s">
        <v>57</v>
      </c>
      <c r="I1443" s="21" t="s">
        <v>57</v>
      </c>
      <c r="J1443" s="21" t="s">
        <v>57</v>
      </c>
      <c r="K1443" s="21" t="s">
        <v>57</v>
      </c>
      <c r="L1443" s="21" t="s">
        <v>57</v>
      </c>
      <c r="M1443" s="21"/>
      <c r="N1443" s="21" t="s">
        <v>57</v>
      </c>
      <c r="O1443" s="21" t="s">
        <v>57</v>
      </c>
      <c r="P1443" s="21" t="s">
        <v>57</v>
      </c>
      <c r="Q1443" s="21"/>
      <c r="R1443" s="21" t="s">
        <v>57</v>
      </c>
      <c r="S1443" s="21" t="s">
        <v>57</v>
      </c>
      <c r="T1443" s="21" t="s">
        <v>57</v>
      </c>
      <c r="U1443" s="21" t="s">
        <v>57</v>
      </c>
      <c r="V1443" s="21" t="s">
        <v>57</v>
      </c>
      <c r="W1443" s="21"/>
      <c r="X1443" s="21" t="s">
        <v>57</v>
      </c>
      <c r="Y1443" s="21" t="s">
        <v>57</v>
      </c>
      <c r="Z1443" s="21" t="s">
        <v>57</v>
      </c>
      <c r="AA1443" s="21" t="s">
        <v>57</v>
      </c>
      <c r="AB1443" s="21" t="s">
        <v>57</v>
      </c>
      <c r="AC1443" s="21"/>
      <c r="AD1443" s="21"/>
      <c r="AF1443" s="34">
        <f>+D1424+D1437</f>
        <v>8677.9279999999999</v>
      </c>
      <c r="AG1443" s="34">
        <f>+E1424+E1437</f>
        <v>8677.9281699999992</v>
      </c>
      <c r="AH1443" s="34">
        <f>+F1424+F1437</f>
        <v>0</v>
      </c>
      <c r="AI1443" s="34">
        <f t="shared" ref="AI1443:AI1452" si="267">+AG1443+AH1443</f>
        <v>8677.9281699999992</v>
      </c>
      <c r="AJ1443" s="34">
        <f>+L1424+L1437</f>
        <v>0</v>
      </c>
      <c r="AK1443" s="34">
        <f t="shared" ref="AK1443:AK1452" si="268">+AI1443+AJ1443</f>
        <v>8677.9281699999992</v>
      </c>
      <c r="AL1443" s="34">
        <f>+O1424+O1437</f>
        <v>0</v>
      </c>
      <c r="AM1443" s="34">
        <f>+P1424+P1437</f>
        <v>0</v>
      </c>
      <c r="AN1443" s="34">
        <f>+AL1443+AM1443</f>
        <v>0</v>
      </c>
      <c r="AO1443" s="34">
        <f>+V1424+V1437</f>
        <v>0</v>
      </c>
      <c r="AP1443" s="34">
        <f>+AN1443+AO1443</f>
        <v>0</v>
      </c>
      <c r="AQ1443" s="34">
        <f>+AI1443+AN1443</f>
        <v>8677.9281699999992</v>
      </c>
      <c r="AR1443" s="34">
        <f>+AF1443-AQ1443</f>
        <v>-1.6999999934341758E-4</v>
      </c>
      <c r="AS1443" s="34">
        <f t="shared" si="266"/>
        <v>1550000</v>
      </c>
    </row>
    <row r="1444" spans="1:45" x14ac:dyDescent="0.2">
      <c r="A1444" s="18"/>
      <c r="B1444" s="22"/>
      <c r="C1444" s="11"/>
      <c r="D1444" s="42"/>
      <c r="E1444" s="28"/>
      <c r="F1444" s="28"/>
      <c r="G1444" s="28"/>
      <c r="H1444" s="28"/>
      <c r="I1444" s="28"/>
      <c r="J1444" s="28"/>
      <c r="K1444" s="28"/>
      <c r="L1444" s="28"/>
      <c r="M1444" s="28"/>
      <c r="N1444" s="28"/>
      <c r="O1444" s="42"/>
      <c r="P1444" s="42"/>
      <c r="Q1444" s="28"/>
      <c r="R1444" s="42"/>
      <c r="S1444" s="28"/>
      <c r="T1444" s="28"/>
      <c r="U1444" s="28"/>
      <c r="V1444" s="28"/>
      <c r="W1444" s="21"/>
      <c r="X1444" s="21"/>
      <c r="Y1444" s="42"/>
      <c r="Z1444" s="21"/>
      <c r="AA1444" s="21"/>
      <c r="AB1444" s="21"/>
      <c r="AC1444" s="21"/>
      <c r="AD1444" s="21"/>
      <c r="AE1444" s="25" t="s">
        <v>72</v>
      </c>
      <c r="AF1444" s="34">
        <f>+D1423</f>
        <v>1834000</v>
      </c>
      <c r="AG1444" s="34">
        <f>+E1423</f>
        <v>255000</v>
      </c>
      <c r="AH1444" s="34">
        <f>+F1423</f>
        <v>29000</v>
      </c>
      <c r="AI1444" s="34">
        <f t="shared" si="267"/>
        <v>284000</v>
      </c>
      <c r="AJ1444" s="34">
        <f>+L1423</f>
        <v>0</v>
      </c>
      <c r="AK1444" s="34">
        <f t="shared" si="268"/>
        <v>284000</v>
      </c>
      <c r="AL1444" s="34">
        <f>+O1423</f>
        <v>0</v>
      </c>
      <c r="AM1444" s="34">
        <f>+P1423</f>
        <v>0</v>
      </c>
      <c r="AN1444" s="34">
        <f>+AL1444+AM1444</f>
        <v>0</v>
      </c>
      <c r="AO1444" s="34">
        <f>+V1423</f>
        <v>0</v>
      </c>
      <c r="AP1444" s="34">
        <f>+AN1444+AO1444</f>
        <v>0</v>
      </c>
      <c r="AQ1444" s="34">
        <f>+AI1444+AN1444</f>
        <v>284000</v>
      </c>
      <c r="AR1444" s="34">
        <f>+AF1444-AQ1444</f>
        <v>1550000</v>
      </c>
      <c r="AS1444" s="34">
        <f t="shared" si="266"/>
        <v>143967.14034999997</v>
      </c>
    </row>
    <row r="1445" spans="1:45" x14ac:dyDescent="0.2">
      <c r="A1445" s="18">
        <v>115</v>
      </c>
      <c r="B1445" s="17" t="s">
        <v>391</v>
      </c>
      <c r="C1445" s="17" t="s">
        <v>51</v>
      </c>
      <c r="D1445" s="19">
        <f>40835941/1000</f>
        <v>40835.940999999999</v>
      </c>
      <c r="E1445" s="19">
        <f>[1]TOBEPAID!E1103/1000</f>
        <v>0</v>
      </c>
      <c r="F1445" s="19">
        <f>[1]TOBEPAID!F1103/1000</f>
        <v>0</v>
      </c>
      <c r="G1445" s="19">
        <f>[1]TOBEPAID!G1103/1000</f>
        <v>0</v>
      </c>
      <c r="H1445" s="19">
        <f>37649120/1000</f>
        <v>37649.120000000003</v>
      </c>
      <c r="I1445" s="19">
        <f>[1]TOBEPAID!I1103/1000</f>
        <v>0</v>
      </c>
      <c r="J1445" s="19">
        <f>[1]TOBEPAID!J1103/1000</f>
        <v>0</v>
      </c>
      <c r="K1445" s="19">
        <f>[1]TOBEPAID!K1103/1000</f>
        <v>0</v>
      </c>
      <c r="L1445" s="19">
        <f>[1]TOBEPAID!L1103/1000</f>
        <v>0</v>
      </c>
      <c r="M1445" s="19">
        <f>[1]TOBEPAID!M1103/1000</f>
        <v>0</v>
      </c>
      <c r="N1445" s="19">
        <f>[1]TOBEPAID!N1103/1000</f>
        <v>0</v>
      </c>
      <c r="O1445" s="19">
        <f>[1]TOBEPAID!O1103/1000</f>
        <v>1717.5527500000001</v>
      </c>
      <c r="P1445" s="19">
        <f>[1]TOBEPAID!P1103/1000</f>
        <v>0</v>
      </c>
      <c r="Q1445" s="19">
        <f>[1]TOBEPAID!Q1103/1000</f>
        <v>0</v>
      </c>
      <c r="R1445" s="19">
        <f>1725302/1000</f>
        <v>1725.3019999999999</v>
      </c>
      <c r="S1445" s="19">
        <f>[1]TOBEPAID!S1103/1000</f>
        <v>958.28593999999998</v>
      </c>
      <c r="T1445" s="19">
        <f>[1]TOBEPAID!T1103/1000</f>
        <v>0</v>
      </c>
      <c r="U1445" s="19">
        <f>[1]TOBEPAID!U1103/1000</f>
        <v>0</v>
      </c>
      <c r="V1445" s="19">
        <f>[1]TOBEPAID!V1103/1000</f>
        <v>0</v>
      </c>
      <c r="W1445" s="19">
        <f>[1]TOBEPAID!W1103/1000</f>
        <v>0</v>
      </c>
      <c r="X1445" s="19">
        <f>[1]TOBEPAID!X1103/1000</f>
        <v>1717.5527500000001</v>
      </c>
      <c r="Y1445" s="19">
        <f>+H1445+R1445</f>
        <v>39374.422000000006</v>
      </c>
      <c r="Z1445" s="19">
        <f>+D1445-Y1445</f>
        <v>1461.518999999993</v>
      </c>
      <c r="AA1445" s="19">
        <f>[1]TOBEPAID!AA1103/1000</f>
        <v>1717.5527500000001</v>
      </c>
      <c r="AB1445" s="19">
        <f>[1]TOBEPAID!AB1103/1000</f>
        <v>34965.57286</v>
      </c>
      <c r="AC1445" s="19"/>
      <c r="AD1445" s="19"/>
      <c r="AE1445" s="25" t="s">
        <v>86</v>
      </c>
      <c r="AF1445" s="34">
        <f>D1421+D1435+D1445</f>
        <v>173004.66699999999</v>
      </c>
      <c r="AG1445" s="34">
        <f>E1421+E1435+E1445</f>
        <v>12292.58029</v>
      </c>
      <c r="AH1445" s="34">
        <f>F1421+F1435+F1445</f>
        <v>0</v>
      </c>
      <c r="AI1445" s="34">
        <f t="shared" si="267"/>
        <v>12292.58029</v>
      </c>
      <c r="AJ1445" s="34">
        <f>L1421+L1435+L1445</f>
        <v>0</v>
      </c>
      <c r="AK1445" s="34">
        <f t="shared" si="268"/>
        <v>12292.58029</v>
      </c>
      <c r="AL1445" s="34">
        <f>O1421+O1435+O1445</f>
        <v>16744.946360000002</v>
      </c>
      <c r="AM1445" s="34">
        <f>P1421+P1435+P1445</f>
        <v>0</v>
      </c>
      <c r="AN1445" s="34">
        <f>+AL1445+AM1445</f>
        <v>16744.946360000002</v>
      </c>
      <c r="AO1445" s="34">
        <f>V1421+V1435+V1445</f>
        <v>0</v>
      </c>
      <c r="AP1445" s="34">
        <f>+AN1445+AO1445</f>
        <v>16744.946360000002</v>
      </c>
      <c r="AQ1445" s="34">
        <f>+AI1445+AN1445</f>
        <v>29037.52665</v>
      </c>
      <c r="AR1445" s="34">
        <f>+AF1445-AQ1445</f>
        <v>143967.14035</v>
      </c>
      <c r="AS1445" s="34">
        <f t="shared" si="266"/>
        <v>-1.9999999994979589E-4</v>
      </c>
    </row>
    <row r="1446" spans="1:45" x14ac:dyDescent="0.2">
      <c r="A1446" s="18"/>
      <c r="C1446" s="20" t="s">
        <v>52</v>
      </c>
      <c r="D1446" s="19">
        <f>825740/1000</f>
        <v>825.74</v>
      </c>
      <c r="E1446" s="19">
        <f>[1]TOBEPAID!E1104/1000</f>
        <v>825.74</v>
      </c>
      <c r="F1446" s="19">
        <f>[1]TOBEPAID!F1104/1000</f>
        <v>0</v>
      </c>
      <c r="G1446" s="19">
        <f>[1]TOBEPAID!G1104/1000</f>
        <v>0</v>
      </c>
      <c r="H1446" s="19">
        <f>825740/1000</f>
        <v>825.74</v>
      </c>
      <c r="I1446" s="19">
        <f>[1]TOBEPAID!I1104/1000</f>
        <v>0</v>
      </c>
      <c r="J1446" s="19">
        <f>[1]TOBEPAID!J1104/1000</f>
        <v>0</v>
      </c>
      <c r="K1446" s="19">
        <f>[1]TOBEPAID!K1104/1000</f>
        <v>0</v>
      </c>
      <c r="L1446" s="19">
        <f>[1]TOBEPAID!L1104/1000</f>
        <v>0</v>
      </c>
      <c r="M1446" s="19">
        <f>[1]TOBEPAID!M1104/1000</f>
        <v>0</v>
      </c>
      <c r="N1446" s="19">
        <f>[1]TOBEPAID!N1104/1000</f>
        <v>825.74</v>
      </c>
      <c r="O1446" s="19">
        <f>[1]TOBEPAID!O1104/1000</f>
        <v>0</v>
      </c>
      <c r="P1446" s="19">
        <f>[1]TOBEPAID!P1104/1000</f>
        <v>0</v>
      </c>
      <c r="Q1446" s="19">
        <f>[1]TOBEPAID!Q1104/1000</f>
        <v>0</v>
      </c>
      <c r="R1446" s="19">
        <v>0</v>
      </c>
      <c r="S1446" s="19">
        <f>[1]TOBEPAID!S1104/1000</f>
        <v>0</v>
      </c>
      <c r="T1446" s="19">
        <f>[1]TOBEPAID!T1104/1000</f>
        <v>0</v>
      </c>
      <c r="U1446" s="19">
        <f>[1]TOBEPAID!U1104/1000</f>
        <v>0</v>
      </c>
      <c r="V1446" s="19">
        <f>[1]TOBEPAID!V1104/1000</f>
        <v>0</v>
      </c>
      <c r="W1446" s="19">
        <f>[1]TOBEPAID!W1104/1000</f>
        <v>0</v>
      </c>
      <c r="X1446" s="19">
        <f>[1]TOBEPAID!X1104/1000</f>
        <v>0</v>
      </c>
      <c r="Y1446" s="19">
        <f>+H1446+R1446</f>
        <v>825.74</v>
      </c>
      <c r="Z1446" s="19">
        <f>+D1446-Y1446</f>
        <v>0</v>
      </c>
      <c r="AA1446" s="19">
        <f>[1]TOBEPAID!AA1104/1000</f>
        <v>825.74</v>
      </c>
      <c r="AB1446" s="19">
        <f>[1]TOBEPAID!AB1104/1000</f>
        <v>0</v>
      </c>
      <c r="AC1446" s="19"/>
      <c r="AD1446" s="19"/>
      <c r="AE1446" s="25" t="s">
        <v>85</v>
      </c>
      <c r="AF1446" s="34">
        <f>+D1447</f>
        <v>3883.3330000000001</v>
      </c>
      <c r="AG1446" s="34">
        <f>+E1447</f>
        <v>3883.3332</v>
      </c>
      <c r="AH1446" s="34">
        <f>+F1447</f>
        <v>0</v>
      </c>
      <c r="AI1446" s="34">
        <f t="shared" si="267"/>
        <v>3883.3332</v>
      </c>
      <c r="AJ1446" s="34">
        <f>+L1447</f>
        <v>0</v>
      </c>
      <c r="AK1446" s="34">
        <f t="shared" si="268"/>
        <v>3883.3332</v>
      </c>
      <c r="AL1446" s="34">
        <f>+O1447</f>
        <v>0</v>
      </c>
      <c r="AM1446" s="34">
        <f>+P1447</f>
        <v>0</v>
      </c>
      <c r="AN1446" s="34">
        <f>+AL1446+AM1446</f>
        <v>0</v>
      </c>
      <c r="AO1446" s="34">
        <f>+V1447</f>
        <v>0</v>
      </c>
      <c r="AP1446" s="34">
        <f>+AN1446+AO1446</f>
        <v>0</v>
      </c>
      <c r="AQ1446" s="34">
        <f>+AI1446+AN1446</f>
        <v>3883.3332</v>
      </c>
      <c r="AR1446" s="34">
        <f>+AF1446-AQ1446</f>
        <v>-1.9999999994979589E-4</v>
      </c>
      <c r="AS1446" s="34">
        <f t="shared" si="266"/>
        <v>-1.0399999991932418E-3</v>
      </c>
    </row>
    <row r="1447" spans="1:45" x14ac:dyDescent="0.2">
      <c r="C1447" s="3" t="s">
        <v>78</v>
      </c>
      <c r="D1447" s="19">
        <f>3883333/1000</f>
        <v>3883.3330000000001</v>
      </c>
      <c r="E1447" s="19">
        <f>[1]TOBEPAID!E1105/1000</f>
        <v>3883.3332</v>
      </c>
      <c r="F1447" s="19">
        <f>[1]TOBEPAID!F1105/1000</f>
        <v>0</v>
      </c>
      <c r="G1447" s="19">
        <f>[1]TOBEPAID!G1105/1000</f>
        <v>0</v>
      </c>
      <c r="H1447" s="19">
        <f>3883333/1000</f>
        <v>3883.3330000000001</v>
      </c>
      <c r="I1447" s="19">
        <f>[1]TOBEPAID!I1105/1000</f>
        <v>0</v>
      </c>
      <c r="J1447" s="19">
        <f>[1]TOBEPAID!J1105/1000</f>
        <v>0</v>
      </c>
      <c r="K1447" s="19">
        <f>[1]TOBEPAID!K1105/1000</f>
        <v>0</v>
      </c>
      <c r="L1447" s="19">
        <f>[1]TOBEPAID!L1105/1000</f>
        <v>0</v>
      </c>
      <c r="M1447" s="19">
        <f>[1]TOBEPAID!M1105/1000</f>
        <v>0</v>
      </c>
      <c r="N1447" s="19">
        <f>[1]TOBEPAID!N1105/1000</f>
        <v>3883.3332</v>
      </c>
      <c r="O1447" s="19">
        <f>[1]TOBEPAID!O1105/1000</f>
        <v>0</v>
      </c>
      <c r="P1447" s="19">
        <f>[1]TOBEPAID!P1105/1000</f>
        <v>0</v>
      </c>
      <c r="Q1447" s="19">
        <f>[1]TOBEPAID!Q1105/1000</f>
        <v>0</v>
      </c>
      <c r="R1447" s="19">
        <v>0</v>
      </c>
      <c r="S1447" s="19">
        <f>[1]TOBEPAID!S1105/1000</f>
        <v>0</v>
      </c>
      <c r="T1447" s="19">
        <f>[1]TOBEPAID!T1105/1000</f>
        <v>0</v>
      </c>
      <c r="U1447" s="19">
        <f>[1]TOBEPAID!U1105/1000</f>
        <v>0</v>
      </c>
      <c r="V1447" s="19">
        <f>[1]TOBEPAID!V1105/1000</f>
        <v>0</v>
      </c>
      <c r="W1447" s="19">
        <f>[1]TOBEPAID!W1105/1000</f>
        <v>0</v>
      </c>
      <c r="X1447" s="19">
        <f>[1]TOBEPAID!X1105/1000</f>
        <v>0</v>
      </c>
      <c r="Y1447" s="19">
        <f>+H1447+R1447</f>
        <v>3883.3330000000001</v>
      </c>
      <c r="Z1447" s="19">
        <f>+D1447-Y1447</f>
        <v>0</v>
      </c>
      <c r="AA1447" s="19">
        <f>[1]TOBEPAID!AA1105/1000</f>
        <v>3883.3332</v>
      </c>
      <c r="AB1447" s="19">
        <f>[1]TOBEPAID!AB1105/1000</f>
        <v>0</v>
      </c>
      <c r="AC1447" s="19"/>
      <c r="AD1447" s="19"/>
      <c r="AE1447" s="25" t="s">
        <v>78</v>
      </c>
      <c r="AF1447" s="34">
        <f>D1422+D1436+D1446</f>
        <v>9204.6149999999998</v>
      </c>
      <c r="AG1447" s="34">
        <f>E1422+E1436+E1446</f>
        <v>9204.616039999999</v>
      </c>
      <c r="AH1447" s="34">
        <f>F1422+F1436+F1446</f>
        <v>0</v>
      </c>
      <c r="AI1447" s="34">
        <f t="shared" si="267"/>
        <v>9204.616039999999</v>
      </c>
      <c r="AJ1447" s="34">
        <f>L1422+L1436+L1446</f>
        <v>0</v>
      </c>
      <c r="AK1447" s="34">
        <f t="shared" si="268"/>
        <v>9204.616039999999</v>
      </c>
      <c r="AL1447" s="34">
        <f>O1422+O1436+O1446</f>
        <v>0</v>
      </c>
      <c r="AM1447" s="34">
        <f>P1422+P1436+P1446</f>
        <v>0</v>
      </c>
      <c r="AN1447" s="34">
        <f t="shared" ref="AN1447:AN1452" si="269">+AL1447+AM1447</f>
        <v>0</v>
      </c>
      <c r="AO1447" s="34">
        <f>V1422+V1436+V1446</f>
        <v>0</v>
      </c>
      <c r="AP1447" s="34">
        <f t="shared" ref="AP1447:AP1452" si="270">+AN1447+AO1447</f>
        <v>0</v>
      </c>
      <c r="AQ1447" s="34">
        <f t="shared" ref="AQ1447:AQ1452" si="271">+AI1447+AN1447</f>
        <v>9204.616039999999</v>
      </c>
      <c r="AR1447" s="34">
        <f t="shared" ref="AR1447:AR1452" si="272">+AF1447-AQ1447</f>
        <v>-1.0399999991932418E-3</v>
      </c>
      <c r="AS1447" s="34">
        <f t="shared" si="266"/>
        <v>-1.3600000002043089E-3</v>
      </c>
    </row>
    <row r="1448" spans="1:45" x14ac:dyDescent="0.2">
      <c r="A1448" s="18"/>
      <c r="C1448" s="20" t="s">
        <v>70</v>
      </c>
      <c r="D1448" s="19">
        <f>1200000/1000</f>
        <v>1200</v>
      </c>
      <c r="E1448" s="19">
        <f>[1]TOBEPAID!E1106/1000</f>
        <v>1200</v>
      </c>
      <c r="F1448" s="19">
        <f>[1]TOBEPAID!F1106/1000</f>
        <v>0</v>
      </c>
      <c r="G1448" s="19">
        <f>[1]TOBEPAID!G1106/1000</f>
        <v>0</v>
      </c>
      <c r="H1448" s="19">
        <f>1200000/1000</f>
        <v>1200</v>
      </c>
      <c r="I1448" s="19">
        <f>[1]TOBEPAID!I1106/1000</f>
        <v>0</v>
      </c>
      <c r="J1448" s="19">
        <f>[1]TOBEPAID!J1106/1000</f>
        <v>0</v>
      </c>
      <c r="K1448" s="19">
        <f>[1]TOBEPAID!K1106/1000</f>
        <v>0</v>
      </c>
      <c r="L1448" s="19">
        <f>[1]TOBEPAID!L1106/1000</f>
        <v>0</v>
      </c>
      <c r="M1448" s="19">
        <f>[1]TOBEPAID!M1106/1000</f>
        <v>0</v>
      </c>
      <c r="N1448" s="19">
        <f>[1]TOBEPAID!N1106/1000</f>
        <v>1200</v>
      </c>
      <c r="O1448" s="19">
        <f>[1]TOBEPAID!O1106/1000</f>
        <v>0</v>
      </c>
      <c r="P1448" s="19">
        <f>[1]TOBEPAID!P1106/1000</f>
        <v>0</v>
      </c>
      <c r="Q1448" s="19">
        <f>[1]TOBEPAID!Q1106/1000</f>
        <v>0</v>
      </c>
      <c r="R1448" s="19">
        <v>0</v>
      </c>
      <c r="S1448" s="19">
        <f>[1]TOBEPAID!S1106/1000</f>
        <v>0</v>
      </c>
      <c r="T1448" s="19">
        <f>[1]TOBEPAID!T1106/1000</f>
        <v>0</v>
      </c>
      <c r="U1448" s="19">
        <f>[1]TOBEPAID!U1106/1000</f>
        <v>0</v>
      </c>
      <c r="V1448" s="19">
        <f>[1]TOBEPAID!V1106/1000</f>
        <v>0</v>
      </c>
      <c r="W1448" s="19">
        <f>[1]TOBEPAID!W1106/1000</f>
        <v>0</v>
      </c>
      <c r="X1448" s="19">
        <f>[1]TOBEPAID!X1106/1000</f>
        <v>0</v>
      </c>
      <c r="Y1448" s="19">
        <f>+H1448+R1448</f>
        <v>1200</v>
      </c>
      <c r="Z1448" s="19">
        <f>+D1448-Y1448</f>
        <v>0</v>
      </c>
      <c r="AA1448" s="19">
        <f>[1]TOBEPAID!AA1106/1000</f>
        <v>1200</v>
      </c>
      <c r="AB1448" s="19">
        <f>[1]TOBEPAID!AB1106/1000</f>
        <v>0</v>
      </c>
      <c r="AC1448" s="19"/>
      <c r="AD1448" s="19"/>
      <c r="AE1448" s="25" t="s">
        <v>52</v>
      </c>
      <c r="AF1448" s="34">
        <f>D1428+D1439+D1449</f>
        <v>8883.0670000000009</v>
      </c>
      <c r="AG1448" s="34">
        <f>E1428+E1439+E1449</f>
        <v>0</v>
      </c>
      <c r="AH1448" s="34">
        <f>F1428+F1439+F1449</f>
        <v>0</v>
      </c>
      <c r="AI1448" s="34">
        <f t="shared" si="267"/>
        <v>0</v>
      </c>
      <c r="AJ1448" s="34">
        <f>L1428+L1439+L1449</f>
        <v>0</v>
      </c>
      <c r="AK1448" s="34">
        <f t="shared" si="268"/>
        <v>0</v>
      </c>
      <c r="AL1448" s="34">
        <f>O1428+O1439+O1449</f>
        <v>8883.0683600000011</v>
      </c>
      <c r="AM1448" s="34">
        <f>P1428+P1439+P1449</f>
        <v>0</v>
      </c>
      <c r="AN1448" s="34">
        <f t="shared" si="269"/>
        <v>8883.0683600000011</v>
      </c>
      <c r="AO1448" s="34">
        <f>V1428+V1439+V1449</f>
        <v>0</v>
      </c>
      <c r="AP1448" s="34">
        <f t="shared" si="270"/>
        <v>8883.0683600000011</v>
      </c>
      <c r="AQ1448" s="34">
        <f t="shared" si="271"/>
        <v>8883.0683600000011</v>
      </c>
      <c r="AR1448" s="34">
        <f t="shared" si="272"/>
        <v>-1.3600000002043089E-3</v>
      </c>
      <c r="AS1448" s="34">
        <f t="shared" si="266"/>
        <v>147.12698999999998</v>
      </c>
    </row>
    <row r="1449" spans="1:45" x14ac:dyDescent="0.2">
      <c r="A1449" s="18"/>
      <c r="C1449" s="17" t="s">
        <v>54</v>
      </c>
      <c r="D1449" s="19">
        <f>38459/1000</f>
        <v>38.459000000000003</v>
      </c>
      <c r="E1449" s="19">
        <f>[1]TOBEPAID!E1107/1000</f>
        <v>0</v>
      </c>
      <c r="F1449" s="19">
        <f>[1]TOBEPAID!F1107/1000</f>
        <v>0</v>
      </c>
      <c r="G1449" s="19">
        <f>[1]TOBEPAID!G1107/1000</f>
        <v>0</v>
      </c>
      <c r="H1449" s="19">
        <v>0</v>
      </c>
      <c r="I1449" s="19">
        <f>[1]TOBEPAID!I1107/1000</f>
        <v>0</v>
      </c>
      <c r="J1449" s="19">
        <f>[1]TOBEPAID!J1107/1000</f>
        <v>0</v>
      </c>
      <c r="K1449" s="19">
        <f>[1]TOBEPAID!K1107/1000</f>
        <v>0</v>
      </c>
      <c r="L1449" s="19">
        <f>[1]TOBEPAID!L1107/1000</f>
        <v>0</v>
      </c>
      <c r="M1449" s="19">
        <f>[1]TOBEPAID!M1107/1000</f>
        <v>0</v>
      </c>
      <c r="N1449" s="19">
        <f>[1]TOBEPAID!N1107/1000</f>
        <v>0</v>
      </c>
      <c r="O1449" s="19">
        <f>[1]TOBEPAID!O1107/1000</f>
        <v>38.459650000000003</v>
      </c>
      <c r="P1449" s="19">
        <f>[1]TOBEPAID!P1107/1000</f>
        <v>0</v>
      </c>
      <c r="Q1449" s="19">
        <f>[1]TOBEPAID!Q1107/1000</f>
        <v>0</v>
      </c>
      <c r="R1449" s="19">
        <f>38459/1000</f>
        <v>38.459000000000003</v>
      </c>
      <c r="S1449" s="19">
        <f>[1]TOBEPAID!S1107/1000</f>
        <v>7.0046999999999997</v>
      </c>
      <c r="T1449" s="19">
        <f>[1]TOBEPAID!T1107/1000</f>
        <v>0</v>
      </c>
      <c r="U1449" s="19">
        <f>[1]TOBEPAID!U1107/1000</f>
        <v>0</v>
      </c>
      <c r="V1449" s="19">
        <f>[1]TOBEPAID!V1107/1000</f>
        <v>0</v>
      </c>
      <c r="W1449" s="19">
        <f>[1]TOBEPAID!W1107/1000</f>
        <v>0</v>
      </c>
      <c r="X1449" s="19">
        <f>[1]TOBEPAID!X1107/1000</f>
        <v>38.459650000000003</v>
      </c>
      <c r="Y1449" s="19">
        <f>+H1449+R1449</f>
        <v>38.459000000000003</v>
      </c>
      <c r="Z1449" s="19">
        <f>+D1449-Y1449</f>
        <v>0</v>
      </c>
      <c r="AA1449" s="19">
        <f>[1]TOBEPAID!AA1107/1000</f>
        <v>38.459650000000003</v>
      </c>
      <c r="AB1449" s="19">
        <f>[1]TOBEPAID!AB1107/1000</f>
        <v>4152.8163700000005</v>
      </c>
      <c r="AC1449" s="19"/>
      <c r="AD1449" s="19"/>
      <c r="AE1449" s="25" t="s">
        <v>87</v>
      </c>
      <c r="AF1449" s="34">
        <f>D1429+D1440</f>
        <v>641.90899999999999</v>
      </c>
      <c r="AG1449" s="34">
        <f>E1429+E1440</f>
        <v>0</v>
      </c>
      <c r="AH1449" s="34">
        <f>F1429+F1440</f>
        <v>0</v>
      </c>
      <c r="AI1449" s="34">
        <f t="shared" si="267"/>
        <v>0</v>
      </c>
      <c r="AJ1449" s="34">
        <f>L1429+L1440</f>
        <v>0</v>
      </c>
      <c r="AK1449" s="34">
        <f t="shared" si="268"/>
        <v>0</v>
      </c>
      <c r="AL1449" s="34">
        <f>O1429+O1440</f>
        <v>494.78201000000001</v>
      </c>
      <c r="AM1449" s="34">
        <f>P1429+P1440</f>
        <v>0</v>
      </c>
      <c r="AN1449" s="34">
        <f t="shared" si="269"/>
        <v>494.78201000000001</v>
      </c>
      <c r="AO1449" s="34">
        <f>V1429+V1440</f>
        <v>0</v>
      </c>
      <c r="AP1449" s="34">
        <f t="shared" si="270"/>
        <v>494.78201000000001</v>
      </c>
      <c r="AQ1449" s="34">
        <f t="shared" si="271"/>
        <v>494.78201000000001</v>
      </c>
      <c r="AR1449" s="34">
        <f t="shared" si="272"/>
        <v>147.12698999999998</v>
      </c>
      <c r="AS1449" s="34">
        <f t="shared" si="266"/>
        <v>-1.8999999974766979E-4</v>
      </c>
    </row>
    <row r="1450" spans="1:45" x14ac:dyDescent="0.2">
      <c r="A1450" s="18"/>
      <c r="D1450" s="21" t="s">
        <v>57</v>
      </c>
      <c r="E1450" s="21" t="s">
        <v>57</v>
      </c>
      <c r="F1450" s="21" t="s">
        <v>57</v>
      </c>
      <c r="G1450" s="21"/>
      <c r="H1450" s="21" t="s">
        <v>57</v>
      </c>
      <c r="I1450" s="21" t="s">
        <v>57</v>
      </c>
      <c r="J1450" s="21" t="s">
        <v>57</v>
      </c>
      <c r="K1450" s="21" t="s">
        <v>57</v>
      </c>
      <c r="L1450" s="21" t="s">
        <v>57</v>
      </c>
      <c r="M1450" s="21"/>
      <c r="N1450" s="21" t="s">
        <v>57</v>
      </c>
      <c r="O1450" s="21" t="s">
        <v>57</v>
      </c>
      <c r="P1450" s="21" t="s">
        <v>57</v>
      </c>
      <c r="Q1450" s="21"/>
      <c r="R1450" s="21" t="s">
        <v>57</v>
      </c>
      <c r="S1450" s="21" t="s">
        <v>57</v>
      </c>
      <c r="T1450" s="21" t="s">
        <v>57</v>
      </c>
      <c r="U1450" s="21" t="s">
        <v>57</v>
      </c>
      <c r="V1450" s="21" t="s">
        <v>57</v>
      </c>
      <c r="W1450" s="21"/>
      <c r="X1450" s="21" t="s">
        <v>57</v>
      </c>
      <c r="Y1450" s="21" t="s">
        <v>57</v>
      </c>
      <c r="Z1450" s="21" t="s">
        <v>57</v>
      </c>
      <c r="AA1450" s="21" t="s">
        <v>57</v>
      </c>
      <c r="AB1450" s="21" t="s">
        <v>57</v>
      </c>
      <c r="AC1450" s="21"/>
      <c r="AD1450" s="21"/>
      <c r="AE1450" s="25" t="s">
        <v>88</v>
      </c>
      <c r="AF1450" s="34">
        <f>+D1430</f>
        <v>5324.3230000000003</v>
      </c>
      <c r="AG1450" s="34">
        <f>+E1430</f>
        <v>5324.3231900000001</v>
      </c>
      <c r="AH1450" s="34">
        <f>+F1430</f>
        <v>0</v>
      </c>
      <c r="AI1450" s="34">
        <f t="shared" si="267"/>
        <v>5324.3231900000001</v>
      </c>
      <c r="AJ1450" s="34">
        <f>+L1430</f>
        <v>0</v>
      </c>
      <c r="AK1450" s="34">
        <f t="shared" si="268"/>
        <v>5324.3231900000001</v>
      </c>
      <c r="AL1450" s="34">
        <f>+O1430</f>
        <v>0</v>
      </c>
      <c r="AM1450" s="34">
        <f>+P1430</f>
        <v>0</v>
      </c>
      <c r="AN1450" s="34">
        <f t="shared" si="269"/>
        <v>0</v>
      </c>
      <c r="AO1450" s="34">
        <f>+V1430</f>
        <v>0</v>
      </c>
      <c r="AP1450" s="34">
        <f t="shared" si="270"/>
        <v>0</v>
      </c>
      <c r="AQ1450" s="34">
        <f t="shared" si="271"/>
        <v>5324.3231900000001</v>
      </c>
      <c r="AR1450" s="34">
        <f t="shared" si="272"/>
        <v>-1.8999999974766979E-4</v>
      </c>
      <c r="AS1450" s="34">
        <f t="shared" si="266"/>
        <v>0</v>
      </c>
    </row>
    <row r="1451" spans="1:45" x14ac:dyDescent="0.2">
      <c r="A1451" s="18"/>
      <c r="D1451" s="19">
        <f>SUM(D1445:D1449)</f>
        <v>46783.472999999998</v>
      </c>
      <c r="E1451" s="19">
        <f>SUM(E1445:E1449)</f>
        <v>5909.0731999999998</v>
      </c>
      <c r="F1451" s="19">
        <f>SUM(F1445:F1449)</f>
        <v>0</v>
      </c>
      <c r="G1451" s="19"/>
      <c r="H1451" s="19">
        <f>SUM(H1445:H1449)</f>
        <v>43558.192999999999</v>
      </c>
      <c r="I1451" s="19">
        <f>SUM(I1445:I1449)</f>
        <v>0</v>
      </c>
      <c r="J1451" s="19">
        <f>SUM(J1445:J1449)</f>
        <v>0</v>
      </c>
      <c r="K1451" s="19">
        <f>SUM(K1445:K1449)</f>
        <v>0</v>
      </c>
      <c r="L1451" s="19">
        <f>SUM(L1445:L1449)</f>
        <v>0</v>
      </c>
      <c r="M1451" s="19"/>
      <c r="N1451" s="19">
        <f>SUM(N1445:N1449)</f>
        <v>5909.0731999999998</v>
      </c>
      <c r="O1451" s="19">
        <f>SUM(O1445:O1449)</f>
        <v>1756.0124000000001</v>
      </c>
      <c r="P1451" s="19">
        <f>SUM(P1445:P1449)</f>
        <v>0</v>
      </c>
      <c r="Q1451" s="19"/>
      <c r="R1451" s="19">
        <f>SUM(R1445:R1449)</f>
        <v>1763.761</v>
      </c>
      <c r="S1451" s="19">
        <f>SUM(S1445:S1449)</f>
        <v>965.29063999999994</v>
      </c>
      <c r="T1451" s="19">
        <f>SUM(T1445:T1449)</f>
        <v>0</v>
      </c>
      <c r="U1451" s="19">
        <f>SUM(U1445:U1449)</f>
        <v>0</v>
      </c>
      <c r="V1451" s="19">
        <f>SUM(V1445:V1449)</f>
        <v>0</v>
      </c>
      <c r="W1451" s="19"/>
      <c r="X1451" s="19">
        <f>SUM(X1445:X1449)</f>
        <v>1756.0124000000001</v>
      </c>
      <c r="Y1451" s="19">
        <f>SUM(Y1445:Y1449)</f>
        <v>45321.954000000005</v>
      </c>
      <c r="Z1451" s="19">
        <f>SUM(Z1445:Z1449)</f>
        <v>1461.518999999993</v>
      </c>
      <c r="AA1451" s="19">
        <f>SUM(AA1445:AA1449)</f>
        <v>7665.0855999999994</v>
      </c>
      <c r="AB1451" s="19">
        <f>SUM(AB1445:AB1449)</f>
        <v>39118.389230000001</v>
      </c>
      <c r="AC1451" s="19"/>
      <c r="AD1451" s="19"/>
      <c r="AE1451" s="25" t="s">
        <v>256</v>
      </c>
      <c r="AF1451" s="34">
        <f>+D1448</f>
        <v>1200</v>
      </c>
      <c r="AG1451" s="34">
        <f>+E1448</f>
        <v>1200</v>
      </c>
      <c r="AH1451" s="34">
        <f>+F1448</f>
        <v>0</v>
      </c>
      <c r="AI1451" s="34">
        <f t="shared" si="267"/>
        <v>1200</v>
      </c>
      <c r="AJ1451" s="34">
        <f>+L1448</f>
        <v>0</v>
      </c>
      <c r="AK1451" s="34">
        <f t="shared" si="268"/>
        <v>1200</v>
      </c>
      <c r="AL1451" s="34">
        <f>+O1448</f>
        <v>0</v>
      </c>
      <c r="AM1451" s="34">
        <f>+P1448</f>
        <v>0</v>
      </c>
      <c r="AN1451" s="34">
        <f t="shared" si="269"/>
        <v>0</v>
      </c>
      <c r="AO1451" s="34">
        <f>+V1448</f>
        <v>0</v>
      </c>
      <c r="AP1451" s="34">
        <f t="shared" si="270"/>
        <v>0</v>
      </c>
      <c r="AQ1451" s="34">
        <f t="shared" si="271"/>
        <v>1200</v>
      </c>
      <c r="AR1451" s="34">
        <f t="shared" si="272"/>
        <v>0</v>
      </c>
      <c r="AS1451" s="34">
        <f t="shared" si="266"/>
        <v>0</v>
      </c>
    </row>
    <row r="1452" spans="1:45" x14ac:dyDescent="0.2">
      <c r="A1452" s="18"/>
      <c r="B1452" s="9" t="str">
        <f>+B1445</f>
        <v>DAVAO OR.</v>
      </c>
      <c r="D1452" s="21" t="s">
        <v>57</v>
      </c>
      <c r="E1452" s="21" t="s">
        <v>57</v>
      </c>
      <c r="F1452" s="21" t="s">
        <v>57</v>
      </c>
      <c r="G1452" s="21"/>
      <c r="H1452" s="21" t="s">
        <v>57</v>
      </c>
      <c r="I1452" s="21" t="s">
        <v>57</v>
      </c>
      <c r="J1452" s="21" t="s">
        <v>57</v>
      </c>
      <c r="K1452" s="21" t="s">
        <v>57</v>
      </c>
      <c r="L1452" s="21" t="s">
        <v>57</v>
      </c>
      <c r="M1452" s="21"/>
      <c r="N1452" s="21" t="s">
        <v>57</v>
      </c>
      <c r="O1452" s="21" t="s">
        <v>57</v>
      </c>
      <c r="P1452" s="21" t="s">
        <v>57</v>
      </c>
      <c r="Q1452" s="21"/>
      <c r="R1452" s="21" t="s">
        <v>57</v>
      </c>
      <c r="S1452" s="21" t="s">
        <v>57</v>
      </c>
      <c r="T1452" s="21" t="s">
        <v>57</v>
      </c>
      <c r="U1452" s="21" t="s">
        <v>57</v>
      </c>
      <c r="V1452" s="21" t="s">
        <v>57</v>
      </c>
      <c r="W1452" s="21"/>
      <c r="X1452" s="21" t="s">
        <v>57</v>
      </c>
      <c r="Y1452" s="21" t="s">
        <v>57</v>
      </c>
      <c r="Z1452" s="21" t="s">
        <v>57</v>
      </c>
      <c r="AA1452" s="21" t="s">
        <v>57</v>
      </c>
      <c r="AB1452" s="21" t="s">
        <v>57</v>
      </c>
      <c r="AC1452" s="21"/>
      <c r="AD1452" s="21"/>
      <c r="AE1452" s="25" t="s">
        <v>70</v>
      </c>
      <c r="AF1452" s="76">
        <f>+D1438</f>
        <v>0</v>
      </c>
      <c r="AG1452" s="34">
        <f>+E1438</f>
        <v>0</v>
      </c>
      <c r="AH1452" s="34">
        <f>+F1438</f>
        <v>0</v>
      </c>
      <c r="AI1452" s="34">
        <f t="shared" si="267"/>
        <v>0</v>
      </c>
      <c r="AJ1452" s="34">
        <f>+L1438</f>
        <v>0</v>
      </c>
      <c r="AK1452" s="34">
        <f t="shared" si="268"/>
        <v>0</v>
      </c>
      <c r="AL1452" s="34">
        <f>+O1438</f>
        <v>0</v>
      </c>
      <c r="AM1452" s="34">
        <f>+P1438</f>
        <v>0</v>
      </c>
      <c r="AN1452" s="34">
        <f t="shared" si="269"/>
        <v>0</v>
      </c>
      <c r="AO1452" s="34">
        <f>+V1438</f>
        <v>0</v>
      </c>
      <c r="AP1452" s="34">
        <f t="shared" si="270"/>
        <v>0</v>
      </c>
      <c r="AQ1452" s="34">
        <f t="shared" si="271"/>
        <v>0</v>
      </c>
      <c r="AR1452" s="34">
        <f t="shared" si="272"/>
        <v>0</v>
      </c>
      <c r="AS1452" s="34">
        <f>SUM(AS1442:AS1451)</f>
        <v>1694114.2643800001</v>
      </c>
    </row>
    <row r="1453" spans="1:45" ht="15.75" thickBot="1" x14ac:dyDescent="0.25">
      <c r="A1453" s="18"/>
      <c r="B1453" s="9" t="s">
        <v>58</v>
      </c>
      <c r="D1453" s="23">
        <f>[1]TOBEPAID!D1111/1000</f>
        <v>373.46977999999996</v>
      </c>
      <c r="E1453" s="19">
        <f>[1]TOBEPAID!E1111/1000</f>
        <v>0</v>
      </c>
      <c r="F1453" s="19">
        <f>[1]TOBEPAID!F1111/1000</f>
        <v>0</v>
      </c>
      <c r="G1453" s="19">
        <f>[1]TOBEPAID!G1111/1000</f>
        <v>0</v>
      </c>
      <c r="H1453" s="19"/>
      <c r="I1453" s="19">
        <f>[1]TOBEPAID!I1111/1000</f>
        <v>0</v>
      </c>
      <c r="J1453" s="19">
        <f>[1]TOBEPAID!J1111/1000</f>
        <v>0</v>
      </c>
      <c r="K1453" s="19">
        <f>[1]TOBEPAID!K1111/1000</f>
        <v>0</v>
      </c>
      <c r="L1453" s="19">
        <f>[1]TOBEPAID!L1111/1000</f>
        <v>0</v>
      </c>
      <c r="M1453" s="19">
        <f>[1]TOBEPAID!M1111/1000</f>
        <v>0</v>
      </c>
      <c r="N1453" s="19">
        <f>[1]TOBEPAID!N1111/1000</f>
        <v>0</v>
      </c>
      <c r="O1453" s="19">
        <f>[1]TOBEPAID!O1111/1000</f>
        <v>373.46977999999996</v>
      </c>
      <c r="P1453" s="19">
        <f>[1]TOBEPAID!P1111/1000</f>
        <v>0</v>
      </c>
      <c r="Q1453" s="19">
        <f>[1]TOBEPAID!Q1111/1000</f>
        <v>0</v>
      </c>
      <c r="R1453" s="23">
        <f>[1]TOBEPAID!R1111/1000</f>
        <v>373.46977999999996</v>
      </c>
      <c r="S1453" s="23">
        <f>[1]TOBEPAID!S1111/1000</f>
        <v>0</v>
      </c>
      <c r="T1453" s="23">
        <f>[1]TOBEPAID!T1111/1000</f>
        <v>0</v>
      </c>
      <c r="U1453" s="23">
        <f>[1]TOBEPAID!U1111/1000</f>
        <v>0</v>
      </c>
      <c r="V1453" s="23">
        <f>[1]TOBEPAID!V1111/1000</f>
        <v>0</v>
      </c>
      <c r="W1453" s="23">
        <f>[1]TOBEPAID!W1111/1000</f>
        <v>0</v>
      </c>
      <c r="X1453" s="23">
        <f>[1]TOBEPAID!X1111/1000</f>
        <v>0</v>
      </c>
      <c r="Y1453" s="23">
        <f>+H1453+R1453</f>
        <v>373.46977999999996</v>
      </c>
      <c r="Z1453" s="23">
        <f>[1]TOBEPAID!Z1111/1000</f>
        <v>0</v>
      </c>
      <c r="AA1453" s="19">
        <f>[1]TOBEPAID!AA1111/1000</f>
        <v>0</v>
      </c>
      <c r="AB1453" s="19">
        <f>[1]TOBEPAID!AB1111/1000</f>
        <v>0</v>
      </c>
      <c r="AC1453" s="19"/>
      <c r="AD1453" s="19"/>
      <c r="AE1453" s="25" t="s">
        <v>97</v>
      </c>
      <c r="AF1453" s="34">
        <f t="shared" ref="AF1453:AR1453" si="273">SUM(AF1443:AF1452)</f>
        <v>2044819.8420000002</v>
      </c>
      <c r="AG1453" s="34">
        <f t="shared" si="273"/>
        <v>295582.78088999999</v>
      </c>
      <c r="AH1453" s="34">
        <f t="shared" si="273"/>
        <v>29000</v>
      </c>
      <c r="AI1453" s="34">
        <f t="shared" si="273"/>
        <v>324582.78088999999</v>
      </c>
      <c r="AJ1453" s="34">
        <f t="shared" si="273"/>
        <v>0</v>
      </c>
      <c r="AK1453" s="34">
        <f t="shared" si="273"/>
        <v>324582.78088999999</v>
      </c>
      <c r="AL1453" s="34">
        <f t="shared" si="273"/>
        <v>26122.796730000002</v>
      </c>
      <c r="AM1453" s="34">
        <f t="shared" si="273"/>
        <v>0</v>
      </c>
      <c r="AN1453" s="34">
        <f t="shared" si="273"/>
        <v>26122.796730000002</v>
      </c>
      <c r="AO1453" s="34">
        <f t="shared" si="273"/>
        <v>0</v>
      </c>
      <c r="AP1453" s="34">
        <f t="shared" si="273"/>
        <v>26122.796730000002</v>
      </c>
      <c r="AQ1453" s="34">
        <f t="shared" si="273"/>
        <v>350705.57762</v>
      </c>
      <c r="AR1453" s="34">
        <f t="shared" si="273"/>
        <v>1694114.2643800001</v>
      </c>
      <c r="AS1453" s="34"/>
    </row>
    <row r="1454" spans="1:45" ht="15.75" thickTop="1" x14ac:dyDescent="0.2">
      <c r="A1454" s="18"/>
      <c r="B1454" s="17" t="s">
        <v>29</v>
      </c>
      <c r="C1454" s="17" t="s">
        <v>388</v>
      </c>
      <c r="D1454" s="19">
        <f>D1451+D1442+D1432</f>
        <v>2073915.6190000002</v>
      </c>
      <c r="E1454" s="19">
        <f>E1451+E1442+E1432</f>
        <v>295582.78089000005</v>
      </c>
      <c r="F1454" s="19">
        <f>F1451+F1442+F1432</f>
        <v>29000</v>
      </c>
      <c r="G1454" s="19"/>
      <c r="H1454" s="19">
        <f>H1451+H1442+H1432+1</f>
        <v>2044929.3536</v>
      </c>
      <c r="I1454" s="19">
        <f>I1451+I1442+I1432</f>
        <v>0</v>
      </c>
      <c r="J1454" s="19">
        <f>J1451+J1442+J1432</f>
        <v>0</v>
      </c>
      <c r="K1454" s="19">
        <f>K1451+K1442+K1432</f>
        <v>0</v>
      </c>
      <c r="L1454" s="19">
        <f>L1451+L1442+L1432</f>
        <v>0</v>
      </c>
      <c r="M1454" s="19"/>
      <c r="N1454" s="19">
        <f>N1451+N1442+N1432</f>
        <v>324582.78089000005</v>
      </c>
      <c r="O1454" s="19">
        <f>O1451+O1442+O1432</f>
        <v>26122.796729999998</v>
      </c>
      <c r="P1454" s="19">
        <f>P1451+P1442+P1432</f>
        <v>0</v>
      </c>
      <c r="Q1454" s="19"/>
      <c r="R1454" s="19">
        <f>R1451+R1442+R1432</f>
        <v>29066.441999999999</v>
      </c>
      <c r="S1454" s="19">
        <f>S1451+S1442+S1432</f>
        <v>2594.8166699999992</v>
      </c>
      <c r="T1454" s="19">
        <f>T1451+T1442+T1432</f>
        <v>0</v>
      </c>
      <c r="U1454" s="19">
        <f>U1451+U1442+U1432</f>
        <v>2125.6468199999999</v>
      </c>
      <c r="V1454" s="19">
        <f>V1451+V1442+V1432</f>
        <v>0</v>
      </c>
      <c r="W1454" s="19"/>
      <c r="X1454" s="19">
        <f>X1451+X1442+X1432</f>
        <v>26122.796729999998</v>
      </c>
      <c r="Y1454" s="19">
        <f>Y1451+Y1442+Y1432</f>
        <v>2073994.7956000001</v>
      </c>
      <c r="Z1454" s="19">
        <f>Z1451+Z1442+Z1432</f>
        <v>-79.175400000010995</v>
      </c>
      <c r="AA1454" s="19">
        <f>AA1451+AA1442+AA1432</f>
        <v>350705.57762000005</v>
      </c>
      <c r="AB1454" s="19">
        <f>AB1451+AB1442+AB1432</f>
        <v>144114.26964999997</v>
      </c>
      <c r="AC1454" s="19"/>
      <c r="AD1454" s="19"/>
      <c r="AL1454" s="34"/>
      <c r="AP1454" s="34"/>
      <c r="AQ1454" s="34"/>
      <c r="AR1454" s="34"/>
      <c r="AS1454" s="34"/>
    </row>
    <row r="1455" spans="1:45" x14ac:dyDescent="0.2">
      <c r="A1455" s="18"/>
      <c r="D1455" s="21" t="s">
        <v>93</v>
      </c>
      <c r="E1455" s="21" t="s">
        <v>93</v>
      </c>
      <c r="F1455" s="21" t="s">
        <v>93</v>
      </c>
      <c r="G1455" s="21"/>
      <c r="H1455" s="21" t="s">
        <v>93</v>
      </c>
      <c r="I1455" s="21" t="s">
        <v>93</v>
      </c>
      <c r="J1455" s="21" t="s">
        <v>93</v>
      </c>
      <c r="K1455" s="21" t="s">
        <v>93</v>
      </c>
      <c r="L1455" s="21" t="s">
        <v>93</v>
      </c>
      <c r="M1455" s="21"/>
      <c r="N1455" s="21" t="s">
        <v>93</v>
      </c>
      <c r="O1455" s="21" t="s">
        <v>93</v>
      </c>
      <c r="P1455" s="21" t="s">
        <v>93</v>
      </c>
      <c r="Q1455" s="21"/>
      <c r="R1455" s="21" t="s">
        <v>93</v>
      </c>
      <c r="S1455" s="21" t="s">
        <v>93</v>
      </c>
      <c r="T1455" s="21" t="s">
        <v>93</v>
      </c>
      <c r="U1455" s="21" t="s">
        <v>93</v>
      </c>
      <c r="V1455" s="21" t="s">
        <v>93</v>
      </c>
      <c r="W1455" s="21"/>
      <c r="X1455" s="21" t="s">
        <v>93</v>
      </c>
      <c r="Y1455" s="21" t="s">
        <v>93</v>
      </c>
      <c r="Z1455" s="21" t="s">
        <v>93</v>
      </c>
      <c r="AA1455" s="21" t="s">
        <v>93</v>
      </c>
      <c r="AB1455" s="21" t="s">
        <v>93</v>
      </c>
      <c r="AC1455" s="21"/>
      <c r="AD1455" s="21"/>
      <c r="AF1455" s="34"/>
      <c r="AG1455" s="34"/>
      <c r="AH1455" s="34"/>
      <c r="AI1455" s="34"/>
      <c r="AJ1455" s="34"/>
      <c r="AK1455" s="34"/>
      <c r="AL1455" s="34"/>
      <c r="AM1455" s="34"/>
      <c r="AN1455" s="34"/>
      <c r="AO1455" s="34"/>
      <c r="AP1455" s="34"/>
      <c r="AQ1455" s="34"/>
      <c r="AR1455" s="34"/>
      <c r="AS1455" s="34"/>
    </row>
    <row r="1456" spans="1:45" x14ac:dyDescent="0.2">
      <c r="A1456" s="18"/>
      <c r="C1456" s="25"/>
      <c r="D1456" s="30"/>
      <c r="E1456" s="30"/>
      <c r="F1456" s="30"/>
      <c r="G1456" s="30"/>
      <c r="H1456" s="30"/>
      <c r="I1456" s="30"/>
      <c r="J1456" s="30"/>
      <c r="K1456" s="30"/>
      <c r="L1456" s="30"/>
      <c r="M1456" s="30"/>
      <c r="N1456" s="30"/>
      <c r="O1456" s="30"/>
      <c r="P1456" s="30"/>
      <c r="Q1456" s="30"/>
      <c r="R1456" s="30"/>
      <c r="S1456" s="30"/>
      <c r="T1456" s="30"/>
      <c r="U1456" s="30"/>
      <c r="V1456" s="30"/>
      <c r="W1456" s="30"/>
      <c r="X1456" s="30"/>
      <c r="Y1456" s="30"/>
      <c r="Z1456" s="30"/>
      <c r="AA1456" s="30"/>
      <c r="AB1456" s="30"/>
      <c r="AC1456" s="30"/>
      <c r="AD1456" s="30"/>
      <c r="AF1456" s="34"/>
      <c r="AG1456" s="34"/>
      <c r="AH1456" s="34"/>
      <c r="AI1456" s="34"/>
      <c r="AJ1456" s="34"/>
      <c r="AK1456" s="34"/>
      <c r="AL1456" s="34"/>
      <c r="AM1456" s="34"/>
      <c r="AN1456" s="34"/>
      <c r="AO1456" s="34"/>
      <c r="AP1456" s="34"/>
      <c r="AQ1456" s="34"/>
      <c r="AR1456" s="34"/>
      <c r="AS1456" s="34"/>
    </row>
    <row r="1457" spans="1:45" x14ac:dyDescent="0.2">
      <c r="A1457" s="18"/>
      <c r="B1457" s="17" t="s">
        <v>392</v>
      </c>
      <c r="D1457" s="30"/>
      <c r="E1457" s="30"/>
      <c r="F1457" s="30"/>
      <c r="G1457" s="30"/>
      <c r="H1457" s="30"/>
      <c r="I1457" s="30"/>
      <c r="J1457" s="30"/>
      <c r="K1457" s="30"/>
      <c r="L1457" s="30"/>
      <c r="M1457" s="30"/>
      <c r="N1457" s="30"/>
      <c r="O1457" s="30"/>
      <c r="P1457" s="30"/>
      <c r="Q1457" s="30"/>
      <c r="R1457" s="30"/>
      <c r="S1457" s="30"/>
      <c r="T1457" s="30"/>
      <c r="U1457" s="30"/>
      <c r="V1457" s="30"/>
      <c r="W1457" s="30"/>
      <c r="X1457" s="30"/>
      <c r="Y1457" s="30"/>
      <c r="Z1457" s="30"/>
      <c r="AA1457" s="30"/>
      <c r="AB1457" s="30"/>
      <c r="AC1457" s="30"/>
      <c r="AD1457" s="30"/>
      <c r="AF1457" s="34"/>
      <c r="AG1457" s="34"/>
      <c r="AH1457" s="34"/>
      <c r="AI1457" s="34"/>
      <c r="AJ1457" s="34"/>
      <c r="AK1457" s="34"/>
      <c r="AL1457" s="34"/>
      <c r="AM1457" s="34"/>
      <c r="AN1457" s="34"/>
      <c r="AO1457" s="34"/>
      <c r="AP1457" s="34"/>
      <c r="AQ1457" s="34"/>
      <c r="AR1457" s="34"/>
      <c r="AS1457" s="34"/>
    </row>
    <row r="1458" spans="1:45" x14ac:dyDescent="0.2">
      <c r="A1458" s="18"/>
      <c r="D1458" s="30"/>
      <c r="E1458" s="30"/>
      <c r="F1458" s="30"/>
      <c r="G1458" s="30"/>
      <c r="H1458" s="30"/>
      <c r="I1458" s="30"/>
      <c r="J1458" s="30"/>
      <c r="K1458" s="30"/>
      <c r="L1458" s="30"/>
      <c r="M1458" s="30"/>
      <c r="N1458" s="30"/>
      <c r="O1458" s="30"/>
      <c r="P1458" s="30"/>
      <c r="Q1458" s="30"/>
      <c r="R1458" s="30"/>
      <c r="S1458" s="30"/>
      <c r="T1458" s="30"/>
      <c r="U1458" s="30"/>
      <c r="V1458" s="30"/>
      <c r="W1458" s="30"/>
      <c r="X1458" s="30"/>
      <c r="Y1458" s="30"/>
      <c r="Z1458" s="30"/>
      <c r="AA1458" s="30"/>
      <c r="AB1458" s="30"/>
      <c r="AC1458" s="30"/>
      <c r="AD1458" s="30"/>
      <c r="AF1458" s="34"/>
      <c r="AG1458" s="34"/>
      <c r="AH1458" s="34"/>
      <c r="AI1458" s="34"/>
      <c r="AJ1458" s="34"/>
      <c r="AK1458" s="34"/>
      <c r="AL1458" s="34"/>
      <c r="AM1458" s="34"/>
      <c r="AN1458" s="34"/>
      <c r="AO1458" s="34"/>
      <c r="AP1458" s="34"/>
      <c r="AQ1458" s="34"/>
      <c r="AR1458" s="34"/>
      <c r="AS1458" s="34"/>
    </row>
    <row r="1459" spans="1:45" x14ac:dyDescent="0.2">
      <c r="A1459" s="18">
        <v>116</v>
      </c>
      <c r="B1459" s="17" t="s">
        <v>393</v>
      </c>
      <c r="C1459" s="17" t="s">
        <v>51</v>
      </c>
      <c r="D1459" s="19">
        <f>37747563/1000</f>
        <v>37747.563000000002</v>
      </c>
      <c r="E1459" s="19">
        <f>[1]TOBEPAID!E1117/1000</f>
        <v>15000</v>
      </c>
      <c r="F1459" s="19">
        <f>[1]TOBEPAID!F1117/1000</f>
        <v>0</v>
      </c>
      <c r="G1459" s="19">
        <f>[1]TOBEPAID!G1117/1000</f>
        <v>0</v>
      </c>
      <c r="H1459" s="19">
        <f>31370756/1000</f>
        <v>31370.756000000001</v>
      </c>
      <c r="I1459" s="19">
        <f>[1]TOBEPAID!I1117/1000</f>
        <v>0</v>
      </c>
      <c r="J1459" s="19">
        <f>[1]TOBEPAID!J1117/1000</f>
        <v>0</v>
      </c>
      <c r="K1459" s="19">
        <f>[1]TOBEPAID!K1117/1000</f>
        <v>0</v>
      </c>
      <c r="L1459" s="19">
        <f>[1]TOBEPAID!L1117/1000</f>
        <v>0</v>
      </c>
      <c r="M1459" s="19">
        <f>[1]TOBEPAID!M1117/1000</f>
        <v>0</v>
      </c>
      <c r="N1459" s="19">
        <f>[1]TOBEPAID!N1117/1000</f>
        <v>15000</v>
      </c>
      <c r="O1459" s="19">
        <f>[1]TOBEPAID!O1117/1000</f>
        <v>5603.8962599999995</v>
      </c>
      <c r="P1459" s="19">
        <f>[1]TOBEPAID!P1117/1000</f>
        <v>772.91016000000002</v>
      </c>
      <c r="Q1459" s="19">
        <f>[1]TOBEPAID!Q1117/1000</f>
        <v>0</v>
      </c>
      <c r="R1459" s="19">
        <f>6376806/1000</f>
        <v>6376.8059999999996</v>
      </c>
      <c r="S1459" s="19">
        <f>[1]TOBEPAID!S1117/1000</f>
        <v>0</v>
      </c>
      <c r="T1459" s="19">
        <f>[1]TOBEPAID!T1117/1000</f>
        <v>0</v>
      </c>
      <c r="U1459" s="19">
        <f>[1]TOBEPAID!U1117/1000</f>
        <v>0</v>
      </c>
      <c r="V1459" s="19">
        <f>[1]TOBEPAID!V1117/1000</f>
        <v>0</v>
      </c>
      <c r="W1459" s="19">
        <f>[1]TOBEPAID!W1117/1000</f>
        <v>0</v>
      </c>
      <c r="X1459" s="19">
        <f>[1]TOBEPAID!X1117/1000</f>
        <v>6376.8064199999999</v>
      </c>
      <c r="Y1459" s="19">
        <f>+H1459+R1459</f>
        <v>37747.561999999998</v>
      </c>
      <c r="Z1459" s="19">
        <f t="shared" ref="Z1459:Z1464" si="274">+D1459-Y1459</f>
        <v>1.0000000038417056E-3</v>
      </c>
      <c r="AA1459" s="19">
        <f>[1]TOBEPAID!AA1117/1000</f>
        <v>21376.806420000001</v>
      </c>
      <c r="AB1459" s="19">
        <f>[1]TOBEPAID!AB1117/1000</f>
        <v>12027.826790000001</v>
      </c>
      <c r="AC1459" s="19"/>
      <c r="AD1459" s="19"/>
      <c r="AF1459" s="34"/>
      <c r="AG1459" s="34"/>
      <c r="AH1459" s="34"/>
      <c r="AI1459" s="34"/>
      <c r="AJ1459" s="34"/>
      <c r="AK1459" s="34"/>
      <c r="AL1459" s="34"/>
      <c r="AM1459" s="34"/>
      <c r="AN1459" s="34"/>
      <c r="AO1459" s="34"/>
      <c r="AP1459" s="34"/>
      <c r="AQ1459" s="34"/>
      <c r="AR1459" s="34"/>
    </row>
    <row r="1460" spans="1:45" x14ac:dyDescent="0.2">
      <c r="A1460" s="18"/>
      <c r="B1460" s="17"/>
      <c r="C1460" s="17" t="s">
        <v>74</v>
      </c>
      <c r="D1460" s="19">
        <f>201223000/1000</f>
        <v>201223</v>
      </c>
      <c r="E1460" s="19"/>
      <c r="F1460" s="19"/>
      <c r="G1460" s="19"/>
      <c r="H1460" s="19">
        <f>46146126.66/1000</f>
        <v>46146.126659999994</v>
      </c>
      <c r="I1460" s="19"/>
      <c r="J1460" s="19"/>
      <c r="K1460" s="19"/>
      <c r="L1460" s="19"/>
      <c r="M1460" s="19"/>
      <c r="N1460" s="19"/>
      <c r="O1460" s="19"/>
      <c r="P1460" s="19"/>
      <c r="Q1460" s="19"/>
      <c r="R1460" s="19">
        <v>0</v>
      </c>
      <c r="S1460" s="19"/>
      <c r="T1460" s="19"/>
      <c r="U1460" s="19"/>
      <c r="V1460" s="19"/>
      <c r="W1460" s="19"/>
      <c r="X1460" s="19"/>
      <c r="Y1460" s="19">
        <f>+H1460+R1460</f>
        <v>46146.126659999994</v>
      </c>
      <c r="Z1460" s="19">
        <f t="shared" si="274"/>
        <v>155076.87333999999</v>
      </c>
      <c r="AA1460" s="19"/>
      <c r="AB1460" s="19"/>
      <c r="AC1460" s="19"/>
      <c r="AD1460" s="19"/>
      <c r="AF1460" s="34"/>
      <c r="AG1460" s="34"/>
      <c r="AH1460" s="34"/>
      <c r="AI1460" s="34"/>
      <c r="AJ1460" s="34"/>
      <c r="AK1460" s="34"/>
      <c r="AL1460" s="34"/>
      <c r="AM1460" s="34"/>
      <c r="AN1460" s="34"/>
      <c r="AO1460" s="34"/>
      <c r="AP1460" s="34"/>
      <c r="AQ1460" s="34"/>
      <c r="AR1460" s="34"/>
    </row>
    <row r="1461" spans="1:45" x14ac:dyDescent="0.2">
      <c r="A1461" s="18"/>
      <c r="B1461" s="17"/>
      <c r="C1461" s="17" t="s">
        <v>394</v>
      </c>
      <c r="D1461" s="19">
        <f>1000000/1000</f>
        <v>1000</v>
      </c>
      <c r="E1461" s="19">
        <f>[1]TOBEPAID!E1118/1000</f>
        <v>1000</v>
      </c>
      <c r="F1461" s="19">
        <f>[1]TOBEPAID!F1118/1000</f>
        <v>0</v>
      </c>
      <c r="G1461" s="19">
        <f>[1]TOBEPAID!G1118/1000</f>
        <v>0</v>
      </c>
      <c r="H1461" s="19">
        <f>1000000/1000</f>
        <v>1000</v>
      </c>
      <c r="I1461" s="19">
        <f>[1]TOBEPAID!I1118/1000</f>
        <v>0</v>
      </c>
      <c r="J1461" s="19">
        <f>[1]TOBEPAID!J1118/1000</f>
        <v>0</v>
      </c>
      <c r="K1461" s="19">
        <f>[1]TOBEPAID!K1118/1000</f>
        <v>0</v>
      </c>
      <c r="L1461" s="19">
        <f>[1]TOBEPAID!L1118/1000</f>
        <v>0</v>
      </c>
      <c r="M1461" s="19">
        <f>[1]TOBEPAID!M1118/1000</f>
        <v>0</v>
      </c>
      <c r="N1461" s="19">
        <f>[1]TOBEPAID!N1118/1000</f>
        <v>1000</v>
      </c>
      <c r="O1461" s="19">
        <f>[1]TOBEPAID!O1118/1000</f>
        <v>0</v>
      </c>
      <c r="P1461" s="19">
        <f>[1]TOBEPAID!P1118/1000</f>
        <v>0</v>
      </c>
      <c r="Q1461" s="19">
        <f>[1]TOBEPAID!Q1118/1000</f>
        <v>0</v>
      </c>
      <c r="R1461" s="19">
        <v>0</v>
      </c>
      <c r="S1461" s="19">
        <f>[1]TOBEPAID!S1118/1000</f>
        <v>0</v>
      </c>
      <c r="T1461" s="19">
        <f>[1]TOBEPAID!T1118/1000</f>
        <v>0</v>
      </c>
      <c r="U1461" s="19">
        <f>[1]TOBEPAID!U1118/1000</f>
        <v>0</v>
      </c>
      <c r="V1461" s="19">
        <f>[1]TOBEPAID!V1118/1000</f>
        <v>0</v>
      </c>
      <c r="W1461" s="19">
        <f>[1]TOBEPAID!W1118/1000</f>
        <v>0</v>
      </c>
      <c r="X1461" s="19">
        <f>[1]TOBEPAID!X1118/1000</f>
        <v>0</v>
      </c>
      <c r="Y1461" s="19">
        <f t="shared" ref="Y1461:Y1467" si="275">+H1461+R1461</f>
        <v>1000</v>
      </c>
      <c r="Z1461" s="19">
        <f t="shared" si="274"/>
        <v>0</v>
      </c>
      <c r="AA1461" s="19">
        <f>[1]TOBEPAID!AA1118/1000</f>
        <v>1000</v>
      </c>
      <c r="AB1461" s="19">
        <f>[1]TOBEPAID!AB1118/1000</f>
        <v>0</v>
      </c>
      <c r="AC1461" s="19"/>
      <c r="AD1461" s="19"/>
    </row>
    <row r="1462" spans="1:45" x14ac:dyDescent="0.2">
      <c r="C1462" s="3" t="s">
        <v>78</v>
      </c>
      <c r="D1462" s="19">
        <f>2500000/1000</f>
        <v>2500</v>
      </c>
      <c r="E1462" s="19">
        <f>[1]TOBEPAID!E1119/1000</f>
        <v>2500</v>
      </c>
      <c r="F1462" s="19">
        <f>[1]TOBEPAID!F1119/1000</f>
        <v>0</v>
      </c>
      <c r="G1462" s="19">
        <f>[1]TOBEPAID!G1119/1000</f>
        <v>0</v>
      </c>
      <c r="H1462" s="19">
        <f>2500000/1000</f>
        <v>2500</v>
      </c>
      <c r="I1462" s="19">
        <f>[1]TOBEPAID!I1119/1000</f>
        <v>0</v>
      </c>
      <c r="J1462" s="19">
        <f>[1]TOBEPAID!J1119/1000</f>
        <v>0</v>
      </c>
      <c r="K1462" s="19">
        <f>[1]TOBEPAID!K1119/1000</f>
        <v>0</v>
      </c>
      <c r="L1462" s="19">
        <f>[1]TOBEPAID!L1119/1000</f>
        <v>0</v>
      </c>
      <c r="M1462" s="19">
        <f>[1]TOBEPAID!M1119/1000</f>
        <v>0</v>
      </c>
      <c r="N1462" s="19">
        <f>[1]TOBEPAID!N1119/1000</f>
        <v>2500</v>
      </c>
      <c r="O1462" s="19">
        <f>[1]TOBEPAID!O1119/1000</f>
        <v>0</v>
      </c>
      <c r="P1462" s="19">
        <f>[1]TOBEPAID!P1119/1000</f>
        <v>0</v>
      </c>
      <c r="Q1462" s="19">
        <f>[1]TOBEPAID!Q1119/1000</f>
        <v>0</v>
      </c>
      <c r="R1462" s="19">
        <v>0</v>
      </c>
      <c r="S1462" s="19">
        <f>[1]TOBEPAID!S1119/1000</f>
        <v>0</v>
      </c>
      <c r="T1462" s="19">
        <f>[1]TOBEPAID!T1119/1000</f>
        <v>0</v>
      </c>
      <c r="U1462" s="19">
        <f>[1]TOBEPAID!U1119/1000</f>
        <v>0</v>
      </c>
      <c r="V1462" s="19">
        <f>[1]TOBEPAID!V1119/1000</f>
        <v>0</v>
      </c>
      <c r="W1462" s="19">
        <f>[1]TOBEPAID!W1119/1000</f>
        <v>0</v>
      </c>
      <c r="X1462" s="19">
        <f>[1]TOBEPAID!X1119/1000</f>
        <v>0</v>
      </c>
      <c r="Y1462" s="19">
        <f t="shared" si="275"/>
        <v>2500</v>
      </c>
      <c r="Z1462" s="19">
        <f t="shared" si="274"/>
        <v>0</v>
      </c>
      <c r="AA1462" s="19">
        <f>[1]TOBEPAID!AA1119/1000</f>
        <v>2500</v>
      </c>
      <c r="AB1462" s="19">
        <f>[1]TOBEPAID!AB1119/1000</f>
        <v>0</v>
      </c>
      <c r="AC1462" s="19"/>
      <c r="AD1462" s="19"/>
      <c r="AS1462" s="34"/>
    </row>
    <row r="1463" spans="1:45" x14ac:dyDescent="0.2">
      <c r="C1463" s="3" t="s">
        <v>134</v>
      </c>
      <c r="D1463" s="19">
        <f>6000000/1000</f>
        <v>6000</v>
      </c>
      <c r="E1463" s="19">
        <f>[1]TOBEPAID!E1120/1000</f>
        <v>0</v>
      </c>
      <c r="F1463" s="19">
        <f>[1]TOBEPAID!F1120/1000</f>
        <v>0</v>
      </c>
      <c r="G1463" s="19">
        <f>[1]TOBEPAID!G1120/1000</f>
        <v>0</v>
      </c>
      <c r="H1463" s="19">
        <f>6000000/1000</f>
        <v>6000</v>
      </c>
      <c r="I1463" s="19">
        <f>[1]TOBEPAID!I1120/1000</f>
        <v>0</v>
      </c>
      <c r="J1463" s="19">
        <f>[1]TOBEPAID!J1120/1000</f>
        <v>0</v>
      </c>
      <c r="K1463" s="19">
        <f>[1]TOBEPAID!K1120/1000</f>
        <v>0</v>
      </c>
      <c r="L1463" s="19">
        <f>[1]TOBEPAID!L1120/1000</f>
        <v>0</v>
      </c>
      <c r="M1463" s="19">
        <f>[1]TOBEPAID!M1120/1000</f>
        <v>0</v>
      </c>
      <c r="N1463" s="19">
        <f>[1]TOBEPAID!N1120/1000</f>
        <v>0</v>
      </c>
      <c r="O1463" s="19">
        <f>[1]TOBEPAID!O1120/1000</f>
        <v>0</v>
      </c>
      <c r="P1463" s="19">
        <f>[1]TOBEPAID!P1120/1000</f>
        <v>0</v>
      </c>
      <c r="Q1463" s="19">
        <f>[1]TOBEPAID!Q1120/1000</f>
        <v>0</v>
      </c>
      <c r="R1463" s="19">
        <v>0</v>
      </c>
      <c r="S1463" s="19">
        <f>[1]TOBEPAID!S1120/1000</f>
        <v>0</v>
      </c>
      <c r="T1463" s="19">
        <f>[1]TOBEPAID!T1120/1000</f>
        <v>0</v>
      </c>
      <c r="U1463" s="19">
        <f>[1]TOBEPAID!U1120/1000</f>
        <v>0</v>
      </c>
      <c r="V1463" s="19">
        <f>[1]TOBEPAID!V1120/1000</f>
        <v>0</v>
      </c>
      <c r="W1463" s="19">
        <f>[1]TOBEPAID!W1120/1000</f>
        <v>0</v>
      </c>
      <c r="X1463" s="19">
        <f>[1]TOBEPAID!X1120/1000</f>
        <v>0</v>
      </c>
      <c r="Y1463" s="19">
        <f t="shared" si="275"/>
        <v>6000</v>
      </c>
      <c r="Z1463" s="19">
        <f t="shared" si="274"/>
        <v>0</v>
      </c>
      <c r="AA1463" s="19">
        <f>[1]TOBEPAID!AA1120/1000</f>
        <v>0</v>
      </c>
      <c r="AB1463" s="19">
        <f>[1]TOBEPAID!AB1120/1000</f>
        <v>0</v>
      </c>
      <c r="AC1463" s="19"/>
      <c r="AD1463" s="19"/>
      <c r="AF1463" s="34"/>
      <c r="AG1463" s="34"/>
      <c r="AH1463" s="34"/>
      <c r="AI1463" s="34"/>
      <c r="AJ1463" s="34"/>
      <c r="AK1463" s="34"/>
      <c r="AL1463" s="34"/>
      <c r="AM1463" s="34"/>
      <c r="AN1463" s="34"/>
      <c r="AO1463" s="34"/>
      <c r="AP1463" s="34"/>
      <c r="AQ1463" s="34"/>
      <c r="AR1463" s="34"/>
      <c r="AS1463" s="34"/>
    </row>
    <row r="1464" spans="1:45" x14ac:dyDescent="0.2">
      <c r="C1464" s="3" t="s">
        <v>395</v>
      </c>
      <c r="D1464" s="19">
        <f>12000000/1000</f>
        <v>12000</v>
      </c>
      <c r="E1464" s="19"/>
      <c r="F1464" s="19"/>
      <c r="G1464" s="19"/>
      <c r="H1464" s="19">
        <f>12000000/1000</f>
        <v>12000</v>
      </c>
      <c r="I1464" s="19"/>
      <c r="J1464" s="19"/>
      <c r="K1464" s="19"/>
      <c r="L1464" s="19"/>
      <c r="M1464" s="19"/>
      <c r="N1464" s="19"/>
      <c r="O1464" s="19"/>
      <c r="P1464" s="19"/>
      <c r="Q1464" s="19"/>
      <c r="R1464" s="19">
        <v>0</v>
      </c>
      <c r="S1464" s="19"/>
      <c r="T1464" s="19"/>
      <c r="U1464" s="19"/>
      <c r="V1464" s="19"/>
      <c r="W1464" s="19"/>
      <c r="X1464" s="19"/>
      <c r="Y1464" s="19">
        <f t="shared" si="275"/>
        <v>12000</v>
      </c>
      <c r="Z1464" s="19">
        <f t="shared" si="274"/>
        <v>0</v>
      </c>
      <c r="AA1464" s="19"/>
      <c r="AB1464" s="19"/>
      <c r="AC1464" s="19"/>
      <c r="AD1464" s="19"/>
      <c r="AF1464" s="34"/>
      <c r="AG1464" s="34"/>
      <c r="AH1464" s="34"/>
      <c r="AI1464" s="34"/>
      <c r="AJ1464" s="34"/>
      <c r="AK1464" s="34"/>
      <c r="AL1464" s="34"/>
      <c r="AM1464" s="34"/>
      <c r="AN1464" s="34"/>
      <c r="AO1464" s="34"/>
      <c r="AP1464" s="34"/>
      <c r="AQ1464" s="34"/>
      <c r="AR1464" s="34"/>
      <c r="AS1464" s="34"/>
    </row>
    <row r="1465" spans="1:45" x14ac:dyDescent="0.2">
      <c r="C1465" s="3" t="s">
        <v>275</v>
      </c>
      <c r="D1465" s="19">
        <f>7148652/1000</f>
        <v>7148.652</v>
      </c>
      <c r="E1465" s="19"/>
      <c r="F1465" s="19"/>
      <c r="G1465" s="19"/>
      <c r="H1465" s="19">
        <f>7148952/1000</f>
        <v>7148.9520000000002</v>
      </c>
      <c r="I1465" s="19"/>
      <c r="J1465" s="19"/>
      <c r="K1465" s="19"/>
      <c r="L1465" s="19"/>
      <c r="M1465" s="19"/>
      <c r="N1465" s="19"/>
      <c r="O1465" s="19"/>
      <c r="P1465" s="19"/>
      <c r="Q1465" s="19"/>
      <c r="R1465" s="19">
        <v>0</v>
      </c>
      <c r="S1465" s="19"/>
      <c r="T1465" s="19"/>
      <c r="U1465" s="19"/>
      <c r="V1465" s="19"/>
      <c r="W1465" s="19"/>
      <c r="X1465" s="19"/>
      <c r="Y1465" s="19">
        <f t="shared" si="275"/>
        <v>7148.9520000000002</v>
      </c>
      <c r="Z1465" s="19">
        <f>+Y1465-D1465</f>
        <v>0.3000000000001819</v>
      </c>
      <c r="AA1465" s="19"/>
      <c r="AB1465" s="19"/>
      <c r="AC1465" s="19"/>
      <c r="AD1465" s="19"/>
      <c r="AF1465" s="34"/>
      <c r="AG1465" s="34"/>
      <c r="AH1465" s="34"/>
      <c r="AI1465" s="34"/>
      <c r="AJ1465" s="34"/>
      <c r="AK1465" s="34"/>
      <c r="AL1465" s="34"/>
      <c r="AM1465" s="34"/>
      <c r="AN1465" s="34"/>
      <c r="AO1465" s="34"/>
      <c r="AP1465" s="34"/>
      <c r="AQ1465" s="34"/>
      <c r="AR1465" s="34"/>
      <c r="AS1465" s="34"/>
    </row>
    <row r="1466" spans="1:45" x14ac:dyDescent="0.2">
      <c r="A1466" s="18"/>
      <c r="C1466" s="20" t="s">
        <v>52</v>
      </c>
      <c r="D1466" s="19">
        <f>1783299/1000</f>
        <v>1783.299</v>
      </c>
      <c r="E1466" s="19">
        <f>[1]TOBEPAID!E1121/1000</f>
        <v>1783.2998600000001</v>
      </c>
      <c r="F1466" s="19">
        <f>[1]TOBEPAID!F1121/1000</f>
        <v>0</v>
      </c>
      <c r="G1466" s="19">
        <f>[1]TOBEPAID!G1121/1000</f>
        <v>0</v>
      </c>
      <c r="H1466" s="19">
        <f>1783299/1000</f>
        <v>1783.299</v>
      </c>
      <c r="I1466" s="19">
        <f>[1]TOBEPAID!I1121/1000</f>
        <v>0</v>
      </c>
      <c r="J1466" s="19">
        <f>[1]TOBEPAID!J1121/1000</f>
        <v>0</v>
      </c>
      <c r="K1466" s="19">
        <f>[1]TOBEPAID!K1121/1000</f>
        <v>0</v>
      </c>
      <c r="L1466" s="19">
        <f>[1]TOBEPAID!L1121/1000</f>
        <v>0</v>
      </c>
      <c r="M1466" s="19">
        <f>[1]TOBEPAID!M1121/1000</f>
        <v>0</v>
      </c>
      <c r="N1466" s="19">
        <f>[1]TOBEPAID!N1121/1000</f>
        <v>1783.2998600000001</v>
      </c>
      <c r="O1466" s="19">
        <f>[1]TOBEPAID!O1121/1000</f>
        <v>0</v>
      </c>
      <c r="P1466" s="19">
        <f>[1]TOBEPAID!P1121/1000</f>
        <v>0</v>
      </c>
      <c r="Q1466" s="19">
        <f>[1]TOBEPAID!Q1121/1000</f>
        <v>0</v>
      </c>
      <c r="R1466" s="19">
        <v>0</v>
      </c>
      <c r="S1466" s="19">
        <f>[1]TOBEPAID!S1121/1000</f>
        <v>0</v>
      </c>
      <c r="T1466" s="19">
        <f>[1]TOBEPAID!T1121/1000</f>
        <v>0</v>
      </c>
      <c r="U1466" s="19">
        <f>[1]TOBEPAID!U1121/1000</f>
        <v>0</v>
      </c>
      <c r="V1466" s="19">
        <f>[1]TOBEPAID!V1121/1000</f>
        <v>0</v>
      </c>
      <c r="W1466" s="19">
        <f>[1]TOBEPAID!W1121/1000</f>
        <v>0</v>
      </c>
      <c r="X1466" s="19">
        <f>[1]TOBEPAID!X1121/1000</f>
        <v>0</v>
      </c>
      <c r="Y1466" s="19">
        <f t="shared" si="275"/>
        <v>1783.299</v>
      </c>
      <c r="Z1466" s="19">
        <f>+D1466-Y1466</f>
        <v>0</v>
      </c>
      <c r="AA1466" s="19">
        <f>[1]TOBEPAID!AA1121/1000</f>
        <v>1783.2998600000001</v>
      </c>
      <c r="AB1466" s="19">
        <f>[1]TOBEPAID!AB1121/1000</f>
        <v>0</v>
      </c>
      <c r="AC1466" s="19"/>
      <c r="AD1466" s="19"/>
      <c r="AF1466" s="34"/>
      <c r="AG1466" s="34"/>
      <c r="AH1466" s="34"/>
      <c r="AI1466" s="34"/>
      <c r="AJ1466" s="34"/>
      <c r="AK1466" s="34"/>
      <c r="AL1466" s="34"/>
      <c r="AM1466" s="34"/>
      <c r="AN1466" s="34"/>
      <c r="AO1466" s="34"/>
      <c r="AP1466" s="34"/>
      <c r="AQ1466" s="34"/>
      <c r="AR1466" s="34"/>
      <c r="AS1466" s="34"/>
    </row>
    <row r="1467" spans="1:45" x14ac:dyDescent="0.2">
      <c r="A1467" s="18"/>
      <c r="C1467" s="17" t="s">
        <v>54</v>
      </c>
      <c r="D1467" s="19">
        <v>0</v>
      </c>
      <c r="E1467" s="19">
        <f>[1]TOBEPAID!E1122/1000</f>
        <v>0</v>
      </c>
      <c r="F1467" s="19">
        <f>[1]TOBEPAID!F1122/1000</f>
        <v>0</v>
      </c>
      <c r="G1467" s="19">
        <f>[1]TOBEPAID!G1122/1000</f>
        <v>0</v>
      </c>
      <c r="H1467" s="19">
        <v>0</v>
      </c>
      <c r="I1467" s="19">
        <f>[1]TOBEPAID!I1122/1000</f>
        <v>0</v>
      </c>
      <c r="J1467" s="19">
        <f>[1]TOBEPAID!J1122/1000</f>
        <v>0</v>
      </c>
      <c r="K1467" s="19">
        <f>[1]TOBEPAID!K1122/1000</f>
        <v>0</v>
      </c>
      <c r="L1467" s="19">
        <f>[1]TOBEPAID!L1122/1000</f>
        <v>0</v>
      </c>
      <c r="M1467" s="19">
        <f>[1]TOBEPAID!M1122/1000</f>
        <v>0</v>
      </c>
      <c r="N1467" s="19">
        <f>[1]TOBEPAID!N1122/1000</f>
        <v>0</v>
      </c>
      <c r="O1467" s="19">
        <f>[1]TOBEPAID!O1122/1000</f>
        <v>0</v>
      </c>
      <c r="P1467" s="19">
        <f>[1]TOBEPAID!P1122/1000</f>
        <v>0</v>
      </c>
      <c r="Q1467" s="19">
        <f>[1]TOBEPAID!Q1122/1000</f>
        <v>0</v>
      </c>
      <c r="R1467" s="19">
        <v>0</v>
      </c>
      <c r="S1467" s="19">
        <f>[1]TOBEPAID!S1122/1000</f>
        <v>0</v>
      </c>
      <c r="T1467" s="19">
        <f>[1]TOBEPAID!T1122/1000</f>
        <v>0</v>
      </c>
      <c r="U1467" s="19">
        <f>[1]TOBEPAID!U1122/1000</f>
        <v>0</v>
      </c>
      <c r="V1467" s="19">
        <f>[1]TOBEPAID!V1122/1000</f>
        <v>0</v>
      </c>
      <c r="W1467" s="19">
        <f>[1]TOBEPAID!W1122/1000</f>
        <v>0</v>
      </c>
      <c r="X1467" s="19">
        <f>[1]TOBEPAID!X1122/1000</f>
        <v>0</v>
      </c>
      <c r="Y1467" s="19">
        <f t="shared" si="275"/>
        <v>0</v>
      </c>
      <c r="Z1467" s="19">
        <f>+D1467-Y1467</f>
        <v>0</v>
      </c>
      <c r="AA1467" s="19">
        <f>[1]TOBEPAID!AA1122/1000</f>
        <v>0</v>
      </c>
      <c r="AB1467" s="19">
        <f>[1]TOBEPAID!AB1122/1000</f>
        <v>4342.92983</v>
      </c>
      <c r="AC1467" s="19"/>
      <c r="AD1467" s="19"/>
      <c r="AF1467" s="34"/>
      <c r="AG1467" s="34"/>
      <c r="AH1467" s="34"/>
      <c r="AI1467" s="34"/>
      <c r="AJ1467" s="34"/>
      <c r="AK1467" s="34"/>
      <c r="AL1467" s="34"/>
      <c r="AM1467" s="34"/>
      <c r="AN1467" s="34"/>
      <c r="AO1467" s="34"/>
      <c r="AP1467" s="34"/>
      <c r="AQ1467" s="34"/>
      <c r="AR1467" s="34"/>
      <c r="AS1467" s="34"/>
    </row>
    <row r="1468" spans="1:45" x14ac:dyDescent="0.2">
      <c r="A1468" s="18"/>
      <c r="B1468" s="9"/>
      <c r="D1468" s="21" t="s">
        <v>57</v>
      </c>
      <c r="E1468" s="21" t="s">
        <v>57</v>
      </c>
      <c r="F1468" s="21" t="s">
        <v>57</v>
      </c>
      <c r="G1468" s="21"/>
      <c r="H1468" s="21" t="s">
        <v>57</v>
      </c>
      <c r="I1468" s="21" t="s">
        <v>57</v>
      </c>
      <c r="J1468" s="21" t="s">
        <v>57</v>
      </c>
      <c r="K1468" s="21" t="s">
        <v>57</v>
      </c>
      <c r="L1468" s="21" t="s">
        <v>57</v>
      </c>
      <c r="M1468" s="21"/>
      <c r="N1468" s="21" t="s">
        <v>57</v>
      </c>
      <c r="O1468" s="21" t="s">
        <v>57</v>
      </c>
      <c r="P1468" s="21" t="s">
        <v>57</v>
      </c>
      <c r="Q1468" s="21"/>
      <c r="R1468" s="21" t="s">
        <v>57</v>
      </c>
      <c r="S1468" s="21" t="s">
        <v>57</v>
      </c>
      <c r="T1468" s="21" t="s">
        <v>57</v>
      </c>
      <c r="U1468" s="21" t="s">
        <v>57</v>
      </c>
      <c r="V1468" s="21" t="s">
        <v>57</v>
      </c>
      <c r="W1468" s="21"/>
      <c r="X1468" s="21" t="s">
        <v>57</v>
      </c>
      <c r="Y1468" s="21" t="s">
        <v>57</v>
      </c>
      <c r="Z1468" s="21" t="s">
        <v>57</v>
      </c>
      <c r="AA1468" s="21" t="s">
        <v>57</v>
      </c>
      <c r="AB1468" s="21" t="s">
        <v>57</v>
      </c>
      <c r="AC1468" s="21"/>
      <c r="AD1468" s="21"/>
      <c r="AF1468" s="34"/>
      <c r="AG1468" s="34"/>
      <c r="AH1468" s="34"/>
      <c r="AI1468" s="34"/>
      <c r="AJ1468" s="34"/>
      <c r="AK1468" s="34"/>
      <c r="AL1468" s="34"/>
      <c r="AM1468" s="34"/>
      <c r="AN1468" s="34"/>
      <c r="AO1468" s="34"/>
      <c r="AP1468" s="34"/>
      <c r="AQ1468" s="34"/>
      <c r="AR1468" s="34"/>
      <c r="AS1468" s="34"/>
    </row>
    <row r="1469" spans="1:45" x14ac:dyDescent="0.2">
      <c r="A1469" s="18"/>
      <c r="D1469" s="19">
        <f>SUM(D1459:D1467)</f>
        <v>269402.51399999997</v>
      </c>
      <c r="E1469" s="19">
        <f>SUM(E1459:E1467)</f>
        <v>20283.299859999999</v>
      </c>
      <c r="F1469" s="19">
        <f>SUM(F1459:F1467)</f>
        <v>0</v>
      </c>
      <c r="G1469" s="19"/>
      <c r="H1469" s="19">
        <f>SUM(H1459:H1467)</f>
        <v>107949.13366000001</v>
      </c>
      <c r="I1469" s="19">
        <f>SUM(I1459:I1467)</f>
        <v>0</v>
      </c>
      <c r="J1469" s="19">
        <f>SUM(J1459:J1467)</f>
        <v>0</v>
      </c>
      <c r="K1469" s="19">
        <f>SUM(K1459:K1467)</f>
        <v>0</v>
      </c>
      <c r="L1469" s="19">
        <f>SUM(L1459:L1467)</f>
        <v>0</v>
      </c>
      <c r="M1469" s="19"/>
      <c r="N1469" s="19">
        <f>SUM(N1459:N1467)</f>
        <v>20283.299859999999</v>
      </c>
      <c r="O1469" s="19">
        <f>SUM(O1459:O1467)</f>
        <v>5603.8962599999995</v>
      </c>
      <c r="P1469" s="19">
        <f>SUM(P1459:P1467)</f>
        <v>772.91016000000002</v>
      </c>
      <c r="Q1469" s="19"/>
      <c r="R1469" s="19">
        <f>SUM(R1459:R1467)</f>
        <v>6376.8059999999996</v>
      </c>
      <c r="S1469" s="19">
        <f>SUM(S1459:S1467)</f>
        <v>0</v>
      </c>
      <c r="T1469" s="19">
        <f>SUM(T1459:T1467)</f>
        <v>0</v>
      </c>
      <c r="U1469" s="19">
        <f>SUM(U1459:U1467)</f>
        <v>0</v>
      </c>
      <c r="V1469" s="19">
        <f>SUM(V1459:V1467)</f>
        <v>0</v>
      </c>
      <c r="W1469" s="19"/>
      <c r="X1469" s="19">
        <f>SUM(X1459:X1467)</f>
        <v>6376.8064199999999</v>
      </c>
      <c r="Y1469" s="19">
        <f>SUM(Y1459:Y1467)</f>
        <v>114325.93965999999</v>
      </c>
      <c r="Z1469" s="19">
        <f>SUM(Z1459:Z1467)</f>
        <v>155077.17433999997</v>
      </c>
      <c r="AA1469" s="19">
        <f>SUM(AA1459:AA1467)</f>
        <v>26660.10628</v>
      </c>
      <c r="AB1469" s="19">
        <f>SUM(AB1459:AB1467)</f>
        <v>16370.75662</v>
      </c>
      <c r="AC1469" s="19"/>
      <c r="AD1469" s="19"/>
      <c r="AF1469" s="34"/>
      <c r="AG1469" s="34"/>
      <c r="AH1469" s="34"/>
      <c r="AI1469" s="34"/>
      <c r="AJ1469" s="34"/>
      <c r="AK1469" s="34"/>
      <c r="AL1469" s="34"/>
      <c r="AM1469" s="34"/>
      <c r="AN1469" s="34"/>
      <c r="AO1469" s="34"/>
      <c r="AP1469" s="34"/>
      <c r="AQ1469" s="34"/>
      <c r="AR1469" s="34"/>
      <c r="AS1469" s="34"/>
    </row>
    <row r="1470" spans="1:45" x14ac:dyDescent="0.2">
      <c r="A1470" s="18"/>
      <c r="D1470" s="21" t="s">
        <v>57</v>
      </c>
      <c r="E1470" s="21" t="s">
        <v>57</v>
      </c>
      <c r="F1470" s="21" t="s">
        <v>57</v>
      </c>
      <c r="G1470" s="21"/>
      <c r="H1470" s="21" t="s">
        <v>57</v>
      </c>
      <c r="I1470" s="21" t="s">
        <v>57</v>
      </c>
      <c r="J1470" s="21" t="s">
        <v>57</v>
      </c>
      <c r="K1470" s="21" t="s">
        <v>57</v>
      </c>
      <c r="L1470" s="21" t="s">
        <v>57</v>
      </c>
      <c r="M1470" s="21"/>
      <c r="N1470" s="21" t="s">
        <v>57</v>
      </c>
      <c r="O1470" s="21" t="s">
        <v>57</v>
      </c>
      <c r="P1470" s="21" t="s">
        <v>57</v>
      </c>
      <c r="Q1470" s="21"/>
      <c r="R1470" s="21" t="s">
        <v>57</v>
      </c>
      <c r="S1470" s="21" t="s">
        <v>57</v>
      </c>
      <c r="T1470" s="21" t="s">
        <v>57</v>
      </c>
      <c r="U1470" s="21" t="s">
        <v>57</v>
      </c>
      <c r="V1470" s="21" t="s">
        <v>57</v>
      </c>
      <c r="W1470" s="21"/>
      <c r="X1470" s="21" t="s">
        <v>57</v>
      </c>
      <c r="Y1470" s="21" t="s">
        <v>57</v>
      </c>
      <c r="Z1470" s="21" t="s">
        <v>57</v>
      </c>
      <c r="AA1470" s="21" t="s">
        <v>57</v>
      </c>
      <c r="AB1470" s="21" t="s">
        <v>57</v>
      </c>
      <c r="AC1470" s="21"/>
      <c r="AD1470" s="21"/>
      <c r="AF1470" s="34"/>
      <c r="AG1470" s="34"/>
      <c r="AH1470" s="34"/>
      <c r="AI1470" s="34"/>
      <c r="AJ1470" s="34"/>
      <c r="AK1470" s="34"/>
      <c r="AL1470" s="34"/>
      <c r="AM1470" s="34"/>
      <c r="AN1470" s="34"/>
      <c r="AO1470" s="34"/>
      <c r="AP1470" s="34"/>
      <c r="AQ1470" s="34"/>
      <c r="AR1470" s="34"/>
      <c r="AS1470" s="34"/>
    </row>
    <row r="1471" spans="1:45" x14ac:dyDescent="0.2">
      <c r="A1471" s="18"/>
      <c r="D1471" s="21"/>
      <c r="E1471" s="21"/>
      <c r="F1471" s="62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  <c r="Q1471" s="21"/>
      <c r="R1471" s="21"/>
      <c r="S1471" s="21"/>
      <c r="T1471" s="21"/>
      <c r="U1471" s="21"/>
      <c r="V1471" s="21"/>
      <c r="W1471" s="21"/>
      <c r="X1471" s="21"/>
      <c r="Y1471" s="21"/>
      <c r="Z1471" s="21"/>
      <c r="AA1471" s="21"/>
      <c r="AB1471" s="21"/>
      <c r="AC1471" s="21"/>
      <c r="AD1471" s="21"/>
      <c r="AF1471" s="34"/>
      <c r="AG1471" s="34"/>
      <c r="AH1471" s="34"/>
      <c r="AI1471" s="34"/>
      <c r="AJ1471" s="34"/>
      <c r="AK1471" s="34"/>
      <c r="AL1471" s="34"/>
      <c r="AM1471" s="34"/>
      <c r="AN1471" s="34"/>
      <c r="AO1471" s="34"/>
      <c r="AP1471" s="34"/>
      <c r="AQ1471" s="34"/>
      <c r="AR1471" s="34"/>
      <c r="AS1471" s="34"/>
    </row>
    <row r="1472" spans="1:45" x14ac:dyDescent="0.2">
      <c r="A1472" s="18">
        <v>117</v>
      </c>
      <c r="B1472" s="17" t="s">
        <v>396</v>
      </c>
      <c r="C1472" s="17" t="s">
        <v>51</v>
      </c>
      <c r="D1472" s="19">
        <f>128570831.49/1000</f>
        <v>128570.83149</v>
      </c>
      <c r="E1472" s="19">
        <f>[1]TOBEPAID!E1127/1000</f>
        <v>0</v>
      </c>
      <c r="F1472" s="19">
        <f>[1]TOBEPAID!F1127/1000</f>
        <v>0</v>
      </c>
      <c r="G1472" s="19">
        <f>[1]TOBEPAID!G1127/1000</f>
        <v>0</v>
      </c>
      <c r="H1472" s="19">
        <f>42000000/1000</f>
        <v>42000</v>
      </c>
      <c r="I1472" s="19">
        <f>[1]TOBEPAID!I1127/1000</f>
        <v>0</v>
      </c>
      <c r="J1472" s="19">
        <f>[1]TOBEPAID!J1127/1000</f>
        <v>0</v>
      </c>
      <c r="K1472" s="19">
        <f>[1]TOBEPAID!K1127/1000</f>
        <v>0</v>
      </c>
      <c r="L1472" s="19">
        <f>[1]TOBEPAID!L1127/1000</f>
        <v>0</v>
      </c>
      <c r="M1472" s="19">
        <f>[1]TOBEPAID!M1127/1000</f>
        <v>0</v>
      </c>
      <c r="N1472" s="19">
        <f>[1]TOBEPAID!N1127/1000</f>
        <v>0</v>
      </c>
      <c r="O1472" s="19">
        <f>[1]TOBEPAID!O1127/1000</f>
        <v>4980.4935500000001</v>
      </c>
      <c r="P1472" s="19">
        <f>[1]TOBEPAID!P1127/1000</f>
        <v>0</v>
      </c>
      <c r="Q1472" s="19">
        <f>[1]TOBEPAID!Q1127/1000</f>
        <v>0</v>
      </c>
      <c r="R1472" s="19">
        <f>5500973/1000</f>
        <v>5500.973</v>
      </c>
      <c r="S1472" s="19">
        <f>[1]TOBEPAID!S1127/1000</f>
        <v>5932.2815499999997</v>
      </c>
      <c r="T1472" s="19">
        <f>[1]TOBEPAID!T1127/1000</f>
        <v>4554.1438399999997</v>
      </c>
      <c r="U1472" s="19">
        <f>[1]TOBEPAID!U1127/1000</f>
        <v>0</v>
      </c>
      <c r="V1472" s="19">
        <f>[1]TOBEPAID!V1127/1000</f>
        <v>0</v>
      </c>
      <c r="W1472" s="19">
        <f>[1]TOBEPAID!W1127/1000</f>
        <v>0</v>
      </c>
      <c r="X1472" s="19">
        <f>[1]TOBEPAID!X1127/1000</f>
        <v>4980.4935500000001</v>
      </c>
      <c r="Y1472" s="19">
        <f t="shared" ref="Y1472:Y1477" si="276">+H1472+R1472</f>
        <v>47500.972999999998</v>
      </c>
      <c r="Z1472" s="19">
        <f t="shared" ref="Z1472:Z1477" si="277">+D1472-Y1472</f>
        <v>81069.858489999999</v>
      </c>
      <c r="AA1472" s="19">
        <f>[1]TOBEPAID!AA1127/1000</f>
        <v>4980.4935500000001</v>
      </c>
      <c r="AB1472" s="19">
        <f>[1]TOBEPAID!AB1127/1000</f>
        <v>125307.53793999999</v>
      </c>
      <c r="AC1472" s="19"/>
      <c r="AD1472" s="19"/>
      <c r="AF1472" s="34"/>
      <c r="AG1472" s="34"/>
      <c r="AH1472" s="34"/>
      <c r="AI1472" s="34"/>
      <c r="AJ1472" s="34"/>
      <c r="AK1472" s="34"/>
      <c r="AL1472" s="34"/>
      <c r="AM1472" s="34"/>
      <c r="AN1472" s="34"/>
      <c r="AO1472" s="34"/>
      <c r="AP1472" s="34"/>
      <c r="AQ1472" s="34"/>
      <c r="AR1472" s="34"/>
      <c r="AS1472" s="34"/>
    </row>
    <row r="1473" spans="1:45" x14ac:dyDescent="0.2">
      <c r="A1473" s="18"/>
      <c r="C1473" s="20" t="s">
        <v>52</v>
      </c>
      <c r="D1473" s="19">
        <f>253000/1000</f>
        <v>253</v>
      </c>
      <c r="E1473" s="19">
        <f>[1]TOBEPAID!E1128/1000</f>
        <v>253</v>
      </c>
      <c r="F1473" s="19">
        <f>[1]TOBEPAID!F1128/1000</f>
        <v>0</v>
      </c>
      <c r="G1473" s="19">
        <f>[1]TOBEPAID!G1128/1000</f>
        <v>0</v>
      </c>
      <c r="H1473" s="19">
        <f>253000/1000</f>
        <v>253</v>
      </c>
      <c r="I1473" s="19">
        <f>[1]TOBEPAID!I1128/1000</f>
        <v>0</v>
      </c>
      <c r="J1473" s="19">
        <f>[1]TOBEPAID!J1128/1000</f>
        <v>0</v>
      </c>
      <c r="K1473" s="19">
        <f>[1]TOBEPAID!K1128/1000</f>
        <v>0</v>
      </c>
      <c r="L1473" s="19">
        <f>[1]TOBEPAID!L1128/1000</f>
        <v>0</v>
      </c>
      <c r="M1473" s="19">
        <f>[1]TOBEPAID!M1128/1000</f>
        <v>0</v>
      </c>
      <c r="N1473" s="19">
        <f>[1]TOBEPAID!N1128/1000</f>
        <v>253</v>
      </c>
      <c r="O1473" s="19">
        <f>[1]TOBEPAID!O1128/1000</f>
        <v>0</v>
      </c>
      <c r="P1473" s="19">
        <f>[1]TOBEPAID!P1128/1000</f>
        <v>0</v>
      </c>
      <c r="Q1473" s="19">
        <f>[1]TOBEPAID!Q1128/1000</f>
        <v>0</v>
      </c>
      <c r="R1473" s="19">
        <v>0</v>
      </c>
      <c r="S1473" s="19">
        <f>[1]TOBEPAID!S1128/1000</f>
        <v>0</v>
      </c>
      <c r="T1473" s="19">
        <f>[1]TOBEPAID!T1128/1000</f>
        <v>0</v>
      </c>
      <c r="U1473" s="19">
        <f>[1]TOBEPAID!U1128/1000</f>
        <v>0</v>
      </c>
      <c r="V1473" s="19">
        <f>[1]TOBEPAID!V1128/1000</f>
        <v>0</v>
      </c>
      <c r="W1473" s="19">
        <f>[1]TOBEPAID!W1128/1000</f>
        <v>0</v>
      </c>
      <c r="X1473" s="19">
        <f>[1]TOBEPAID!X1128/1000</f>
        <v>0</v>
      </c>
      <c r="Y1473" s="19">
        <f t="shared" si="276"/>
        <v>253</v>
      </c>
      <c r="Z1473" s="19">
        <f t="shared" si="277"/>
        <v>0</v>
      </c>
      <c r="AA1473" s="19">
        <f>[1]TOBEPAID!AA1128/1000</f>
        <v>253</v>
      </c>
      <c r="AB1473" s="19">
        <f>[1]TOBEPAID!AB1128/1000</f>
        <v>0</v>
      </c>
      <c r="AC1473" s="19"/>
      <c r="AD1473" s="19"/>
      <c r="AF1473" s="34"/>
      <c r="AG1473" s="34"/>
      <c r="AH1473" s="34"/>
      <c r="AI1473" s="34"/>
      <c r="AJ1473" s="34"/>
      <c r="AK1473" s="34"/>
      <c r="AL1473" s="34"/>
      <c r="AM1473" s="34"/>
      <c r="AN1473" s="34"/>
      <c r="AO1473" s="34"/>
      <c r="AP1473" s="34"/>
      <c r="AQ1473" s="34"/>
      <c r="AR1473" s="34"/>
      <c r="AS1473" s="34"/>
    </row>
    <row r="1474" spans="1:45" x14ac:dyDescent="0.2">
      <c r="C1474" s="3" t="s">
        <v>75</v>
      </c>
      <c r="D1474" s="3">
        <f>1717200/1000</f>
        <v>1717.2</v>
      </c>
      <c r="H1474" s="3">
        <f>1717200/1000</f>
        <v>1717.2</v>
      </c>
      <c r="R1474" s="19">
        <v>0</v>
      </c>
      <c r="Y1474" s="19">
        <f t="shared" si="276"/>
        <v>1717.2</v>
      </c>
      <c r="Z1474" s="19">
        <f t="shared" si="277"/>
        <v>0</v>
      </c>
    </row>
    <row r="1475" spans="1:45" x14ac:dyDescent="0.2">
      <c r="C1475" s="3" t="s">
        <v>181</v>
      </c>
      <c r="D1475" s="3">
        <f>95989000/1000</f>
        <v>95989</v>
      </c>
      <c r="H1475" s="3">
        <v>0</v>
      </c>
      <c r="R1475" s="19">
        <v>0</v>
      </c>
      <c r="Y1475" s="19">
        <f t="shared" si="276"/>
        <v>0</v>
      </c>
      <c r="Z1475" s="19">
        <f t="shared" si="277"/>
        <v>95989</v>
      </c>
    </row>
    <row r="1476" spans="1:45" x14ac:dyDescent="0.2">
      <c r="A1476" s="18"/>
      <c r="C1476" s="17" t="s">
        <v>54</v>
      </c>
      <c r="D1476" s="19">
        <f>9059000/1000</f>
        <v>9059</v>
      </c>
      <c r="E1476" s="19">
        <f>[1]TOBEPAID!E1129/1000</f>
        <v>0</v>
      </c>
      <c r="F1476" s="19">
        <f>[1]TOBEPAID!F1129/1000</f>
        <v>0</v>
      </c>
      <c r="G1476" s="19">
        <f>[1]TOBEPAID!G1129/1000</f>
        <v>0</v>
      </c>
      <c r="H1476" s="19">
        <v>0</v>
      </c>
      <c r="I1476" s="19">
        <f>[1]TOBEPAID!I1129/1000</f>
        <v>0</v>
      </c>
      <c r="J1476" s="19">
        <f>[1]TOBEPAID!J1129/1000</f>
        <v>0</v>
      </c>
      <c r="K1476" s="19">
        <f>[1]TOBEPAID!K1129/1000</f>
        <v>0</v>
      </c>
      <c r="L1476" s="19">
        <f>[1]TOBEPAID!L1129/1000</f>
        <v>0</v>
      </c>
      <c r="M1476" s="19">
        <f>[1]TOBEPAID!M1129/1000</f>
        <v>0</v>
      </c>
      <c r="N1476" s="19">
        <f>[1]TOBEPAID!N1129/1000</f>
        <v>0</v>
      </c>
      <c r="O1476" s="19">
        <f>[1]TOBEPAID!O1129/1000</f>
        <v>0</v>
      </c>
      <c r="P1476" s="19">
        <f>[1]TOBEPAID!P1129/1000</f>
        <v>0</v>
      </c>
      <c r="Q1476" s="19">
        <f>[1]TOBEPAID!Q1129/1000</f>
        <v>0</v>
      </c>
      <c r="R1476" s="19">
        <v>0</v>
      </c>
      <c r="S1476" s="19">
        <f>[1]TOBEPAID!S1129/1000</f>
        <v>0</v>
      </c>
      <c r="T1476" s="19">
        <f>[1]TOBEPAID!T1129/1000</f>
        <v>0</v>
      </c>
      <c r="U1476" s="19">
        <f>[1]TOBEPAID!U1129/1000</f>
        <v>0</v>
      </c>
      <c r="V1476" s="19">
        <f>[1]TOBEPAID!V1129/1000</f>
        <v>0</v>
      </c>
      <c r="W1476" s="19">
        <f>[1]TOBEPAID!W1129/1000</f>
        <v>0</v>
      </c>
      <c r="X1476" s="19">
        <f>[1]TOBEPAID!X1129/1000</f>
        <v>0</v>
      </c>
      <c r="Y1476" s="19">
        <f t="shared" si="276"/>
        <v>0</v>
      </c>
      <c r="Z1476" s="19">
        <f t="shared" si="277"/>
        <v>9059</v>
      </c>
      <c r="AA1476" s="19">
        <f>[1]TOBEPAID!AA1129/1000</f>
        <v>0</v>
      </c>
      <c r="AB1476" s="19">
        <f>[1]TOBEPAID!AB1129/1000</f>
        <v>9059.1124999999993</v>
      </c>
      <c r="AC1476" s="19"/>
      <c r="AD1476" s="19"/>
      <c r="AF1476" s="34"/>
      <c r="AG1476" s="34"/>
      <c r="AH1476" s="34"/>
      <c r="AI1476" s="34"/>
      <c r="AJ1476" s="34"/>
      <c r="AK1476" s="34"/>
      <c r="AL1476" s="34"/>
      <c r="AM1476" s="34"/>
      <c r="AN1476" s="34"/>
      <c r="AO1476" s="34"/>
      <c r="AP1476" s="34"/>
      <c r="AQ1476" s="34"/>
      <c r="AR1476" s="34"/>
      <c r="AS1476" s="34"/>
    </row>
    <row r="1477" spans="1:45" x14ac:dyDescent="0.2">
      <c r="A1477" s="18"/>
      <c r="C1477" s="31" t="s">
        <v>56</v>
      </c>
      <c r="D1477" s="19">
        <f>15158000/1000</f>
        <v>15158</v>
      </c>
      <c r="E1477" s="19">
        <f>[1]TOBEPAID!E1130/1000</f>
        <v>0</v>
      </c>
      <c r="F1477" s="19">
        <f>[1]TOBEPAID!F1130/1000</f>
        <v>0</v>
      </c>
      <c r="G1477" s="19">
        <f>[1]TOBEPAID!G1130/1000</f>
        <v>0</v>
      </c>
      <c r="H1477" s="19">
        <v>0</v>
      </c>
      <c r="I1477" s="19">
        <f>[1]TOBEPAID!I1130/1000</f>
        <v>0</v>
      </c>
      <c r="J1477" s="19">
        <f>[1]TOBEPAID!J1130/1000</f>
        <v>0</v>
      </c>
      <c r="K1477" s="19">
        <f>[1]TOBEPAID!K1130/1000</f>
        <v>0</v>
      </c>
      <c r="L1477" s="19">
        <f>[1]TOBEPAID!L1130/1000</f>
        <v>0</v>
      </c>
      <c r="M1477" s="19">
        <f>[1]TOBEPAID!M1130/1000</f>
        <v>0</v>
      </c>
      <c r="N1477" s="19">
        <f>[1]TOBEPAID!N1130/1000</f>
        <v>0</v>
      </c>
      <c r="O1477" s="19">
        <f>[1]TOBEPAID!O1130/1000</f>
        <v>12.387780000000001</v>
      </c>
      <c r="P1477" s="19">
        <f>[1]TOBEPAID!P1130/1000</f>
        <v>0</v>
      </c>
      <c r="Q1477" s="19">
        <f>[1]TOBEPAID!Q1130/1000</f>
        <v>0</v>
      </c>
      <c r="R1477" s="19">
        <v>12.387</v>
      </c>
      <c r="S1477" s="19">
        <f>[1]TOBEPAID!S1130/1000</f>
        <v>0</v>
      </c>
      <c r="T1477" s="19">
        <f>[1]TOBEPAID!T1130/1000</f>
        <v>0</v>
      </c>
      <c r="U1477" s="19">
        <f>[1]TOBEPAID!U1130/1000</f>
        <v>0</v>
      </c>
      <c r="V1477" s="19">
        <f>[1]TOBEPAID!V1130/1000</f>
        <v>0</v>
      </c>
      <c r="W1477" s="19">
        <f>[1]TOBEPAID!W1130/1000</f>
        <v>0</v>
      </c>
      <c r="X1477" s="19">
        <f>[1]TOBEPAID!X1130/1000</f>
        <v>12.387780000000001</v>
      </c>
      <c r="Y1477" s="19">
        <f t="shared" si="276"/>
        <v>12.387</v>
      </c>
      <c r="Z1477" s="19">
        <f t="shared" si="277"/>
        <v>15145.612999999999</v>
      </c>
      <c r="AA1477" s="19">
        <f>[1]TOBEPAID!AA1130/1000</f>
        <v>12.387780000000001</v>
      </c>
      <c r="AB1477" s="19">
        <f>[1]TOBEPAID!AB1130/1000</f>
        <v>15145.652960000001</v>
      </c>
      <c r="AC1477" s="19"/>
      <c r="AD1477" s="19"/>
      <c r="AF1477" s="34"/>
      <c r="AG1477" s="34"/>
      <c r="AH1477" s="34"/>
      <c r="AI1477" s="34"/>
      <c r="AJ1477" s="34"/>
      <c r="AK1477" s="34"/>
      <c r="AL1477" s="34"/>
      <c r="AM1477" s="34"/>
      <c r="AN1477" s="34"/>
      <c r="AO1477" s="34"/>
      <c r="AP1477" s="34"/>
      <c r="AQ1477" s="34"/>
      <c r="AR1477" s="34"/>
      <c r="AS1477" s="34"/>
    </row>
    <row r="1478" spans="1:45" x14ac:dyDescent="0.2">
      <c r="A1478" s="18"/>
      <c r="D1478" s="21" t="s">
        <v>57</v>
      </c>
      <c r="E1478" s="21" t="s">
        <v>57</v>
      </c>
      <c r="F1478" s="21" t="s">
        <v>57</v>
      </c>
      <c r="G1478" s="21"/>
      <c r="H1478" s="21" t="s">
        <v>57</v>
      </c>
      <c r="I1478" s="21" t="s">
        <v>57</v>
      </c>
      <c r="J1478" s="21" t="s">
        <v>57</v>
      </c>
      <c r="K1478" s="21" t="s">
        <v>57</v>
      </c>
      <c r="L1478" s="21" t="s">
        <v>57</v>
      </c>
      <c r="M1478" s="21"/>
      <c r="N1478" s="21" t="s">
        <v>57</v>
      </c>
      <c r="O1478" s="21" t="s">
        <v>57</v>
      </c>
      <c r="P1478" s="21" t="s">
        <v>57</v>
      </c>
      <c r="Q1478" s="21"/>
      <c r="R1478" s="21" t="s">
        <v>57</v>
      </c>
      <c r="S1478" s="21" t="s">
        <v>57</v>
      </c>
      <c r="T1478" s="21" t="s">
        <v>57</v>
      </c>
      <c r="U1478" s="21" t="s">
        <v>57</v>
      </c>
      <c r="V1478" s="21" t="s">
        <v>57</v>
      </c>
      <c r="W1478" s="21"/>
      <c r="X1478" s="21" t="s">
        <v>57</v>
      </c>
      <c r="Y1478" s="21" t="s">
        <v>57</v>
      </c>
      <c r="Z1478" s="21" t="s">
        <v>57</v>
      </c>
      <c r="AA1478" s="21" t="s">
        <v>57</v>
      </c>
      <c r="AB1478" s="21" t="s">
        <v>57</v>
      </c>
      <c r="AC1478" s="21"/>
      <c r="AD1478" s="21"/>
      <c r="AF1478" s="34"/>
      <c r="AG1478" s="34"/>
      <c r="AH1478" s="34"/>
      <c r="AI1478" s="34"/>
      <c r="AJ1478" s="34"/>
      <c r="AK1478" s="34"/>
      <c r="AL1478" s="34"/>
      <c r="AM1478" s="34"/>
      <c r="AN1478" s="34"/>
      <c r="AO1478" s="34"/>
      <c r="AP1478" s="34"/>
      <c r="AQ1478" s="34"/>
      <c r="AR1478" s="34"/>
      <c r="AS1478" s="34"/>
    </row>
    <row r="1479" spans="1:45" x14ac:dyDescent="0.2">
      <c r="A1479" s="18"/>
      <c r="D1479" s="19">
        <f>SUM(D1472:D1477)</f>
        <v>250747.03148999999</v>
      </c>
      <c r="E1479" s="19">
        <f>SUM(E1472:E1477)</f>
        <v>253</v>
      </c>
      <c r="F1479" s="19">
        <f>SUM(F1472:F1477)</f>
        <v>0</v>
      </c>
      <c r="G1479" s="19"/>
      <c r="H1479" s="19">
        <f>SUM(H1472:H1477)</f>
        <v>43970.2</v>
      </c>
      <c r="I1479" s="19">
        <f>SUM(I1472:I1477)</f>
        <v>0</v>
      </c>
      <c r="J1479" s="19">
        <f>SUM(J1472:J1477)</f>
        <v>0</v>
      </c>
      <c r="K1479" s="19">
        <f>SUM(K1472:K1477)</f>
        <v>0</v>
      </c>
      <c r="L1479" s="19">
        <f>SUM(L1472:L1477)</f>
        <v>0</v>
      </c>
      <c r="M1479" s="19"/>
      <c r="N1479" s="19">
        <f>SUM(N1472:N1477)</f>
        <v>253</v>
      </c>
      <c r="O1479" s="19">
        <f>SUM(O1472:O1477)</f>
        <v>4992.8813300000002</v>
      </c>
      <c r="P1479" s="19">
        <f>SUM(P1472:P1477)</f>
        <v>0</v>
      </c>
      <c r="Q1479" s="19"/>
      <c r="R1479" s="19">
        <f>SUM(R1472:R1477)</f>
        <v>5513.36</v>
      </c>
      <c r="S1479" s="19">
        <f>SUM(S1472:S1477)</f>
        <v>5932.2815499999997</v>
      </c>
      <c r="T1479" s="19">
        <f>SUM(T1472:T1477)</f>
        <v>4554.1438399999997</v>
      </c>
      <c r="U1479" s="19">
        <f>SUM(U1472:U1477)</f>
        <v>0</v>
      </c>
      <c r="V1479" s="19">
        <f>SUM(V1472:V1477)</f>
        <v>0</v>
      </c>
      <c r="W1479" s="19"/>
      <c r="X1479" s="19">
        <f>SUM(X1472:X1477)</f>
        <v>4992.8813300000002</v>
      </c>
      <c r="Y1479" s="19">
        <f>SUM(Y1472:Y1477)</f>
        <v>49483.56</v>
      </c>
      <c r="Z1479" s="19">
        <f>SUM(Z1472:Z1477)</f>
        <v>201263.47149000003</v>
      </c>
      <c r="AA1479" s="19">
        <f>SUM(AA1472:AA1477)</f>
        <v>5245.8813300000002</v>
      </c>
      <c r="AB1479" s="19">
        <f>SUM(AB1472:AB1477)</f>
        <v>149512.3034</v>
      </c>
      <c r="AC1479" s="19"/>
      <c r="AD1479" s="19"/>
      <c r="AF1479" s="34"/>
      <c r="AG1479" s="34"/>
      <c r="AH1479" s="34"/>
      <c r="AI1479" s="34"/>
      <c r="AJ1479" s="34"/>
      <c r="AK1479" s="34"/>
      <c r="AL1479" s="34"/>
      <c r="AM1479" s="34"/>
      <c r="AN1479" s="34"/>
      <c r="AO1479" s="34"/>
      <c r="AP1479" s="34"/>
      <c r="AQ1479" s="34"/>
      <c r="AR1479" s="34"/>
      <c r="AS1479" s="34"/>
    </row>
    <row r="1480" spans="1:45" x14ac:dyDescent="0.2">
      <c r="A1480" s="18"/>
      <c r="B1480" s="17"/>
      <c r="D1480" s="21" t="s">
        <v>57</v>
      </c>
      <c r="E1480" s="21" t="s">
        <v>57</v>
      </c>
      <c r="F1480" s="21" t="s">
        <v>57</v>
      </c>
      <c r="G1480" s="21"/>
      <c r="H1480" s="21" t="s">
        <v>57</v>
      </c>
      <c r="I1480" s="21" t="s">
        <v>57</v>
      </c>
      <c r="J1480" s="21" t="s">
        <v>57</v>
      </c>
      <c r="K1480" s="21" t="s">
        <v>57</v>
      </c>
      <c r="L1480" s="21" t="s">
        <v>57</v>
      </c>
      <c r="M1480" s="21"/>
      <c r="N1480" s="21" t="s">
        <v>57</v>
      </c>
      <c r="O1480" s="21" t="s">
        <v>57</v>
      </c>
      <c r="P1480" s="21" t="s">
        <v>57</v>
      </c>
      <c r="Q1480" s="21"/>
      <c r="R1480" s="21" t="s">
        <v>57</v>
      </c>
      <c r="S1480" s="21" t="s">
        <v>57</v>
      </c>
      <c r="T1480" s="21" t="s">
        <v>57</v>
      </c>
      <c r="U1480" s="21" t="s">
        <v>57</v>
      </c>
      <c r="V1480" s="21" t="s">
        <v>57</v>
      </c>
      <c r="W1480" s="21"/>
      <c r="X1480" s="21" t="s">
        <v>57</v>
      </c>
      <c r="Y1480" s="21" t="s">
        <v>57</v>
      </c>
      <c r="Z1480" s="21" t="s">
        <v>57</v>
      </c>
      <c r="AA1480" s="21" t="s">
        <v>57</v>
      </c>
      <c r="AB1480" s="21" t="s">
        <v>57</v>
      </c>
      <c r="AC1480" s="21"/>
      <c r="AD1480" s="21"/>
      <c r="AF1480" s="34"/>
      <c r="AG1480" s="34"/>
      <c r="AH1480" s="34"/>
      <c r="AI1480" s="34"/>
      <c r="AJ1480" s="34"/>
      <c r="AK1480" s="34"/>
      <c r="AL1480" s="34"/>
      <c r="AM1480" s="34"/>
      <c r="AN1480" s="34"/>
      <c r="AO1480" s="34"/>
      <c r="AP1480" s="34"/>
      <c r="AQ1480" s="34"/>
      <c r="AR1480" s="34"/>
      <c r="AS1480" s="34"/>
    </row>
    <row r="1481" spans="1:45" x14ac:dyDescent="0.2">
      <c r="A1481" s="18"/>
      <c r="D1481" s="21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  <c r="R1481" s="21"/>
      <c r="S1481" s="21"/>
      <c r="T1481" s="21"/>
      <c r="U1481" s="21"/>
      <c r="V1481" s="42"/>
      <c r="W1481" s="21"/>
      <c r="X1481" s="21"/>
      <c r="Y1481" s="21"/>
      <c r="Z1481" s="21"/>
      <c r="AA1481" s="21"/>
      <c r="AB1481" s="21"/>
      <c r="AC1481" s="21"/>
      <c r="AD1481" s="21"/>
      <c r="AF1481" s="34"/>
      <c r="AG1481" s="34"/>
      <c r="AH1481" s="34"/>
      <c r="AI1481" s="34"/>
      <c r="AJ1481" s="34"/>
      <c r="AK1481" s="34"/>
      <c r="AL1481" s="34"/>
      <c r="AM1481" s="34"/>
      <c r="AN1481" s="34"/>
      <c r="AO1481" s="34"/>
      <c r="AP1481" s="34"/>
      <c r="AQ1481" s="34"/>
      <c r="AR1481" s="34"/>
    </row>
    <row r="1482" spans="1:45" x14ac:dyDescent="0.2">
      <c r="A1482" s="18">
        <v>118</v>
      </c>
      <c r="B1482" s="54" t="s">
        <v>397</v>
      </c>
      <c r="C1482" s="20" t="s">
        <v>51</v>
      </c>
      <c r="D1482" s="19">
        <f>111179440/1000</f>
        <v>111179.44</v>
      </c>
      <c r="E1482" s="19">
        <f>[1]TOBEPAID!E1135/1000</f>
        <v>0</v>
      </c>
      <c r="F1482" s="19">
        <f>[1]TOBEPAID!F1135/1000</f>
        <v>0</v>
      </c>
      <c r="G1482" s="19">
        <f>[1]TOBEPAID!G1135/1000</f>
        <v>0</v>
      </c>
      <c r="H1482" s="19">
        <f>97436223/1000</f>
        <v>97436.222999999998</v>
      </c>
      <c r="I1482" s="19">
        <f>[1]TOBEPAID!I1135/1000</f>
        <v>0</v>
      </c>
      <c r="J1482" s="19">
        <f>[1]TOBEPAID!J1135/1000</f>
        <v>0</v>
      </c>
      <c r="K1482" s="19">
        <f>[1]TOBEPAID!K1135/1000</f>
        <v>0</v>
      </c>
      <c r="L1482" s="19">
        <f>[1]TOBEPAID!L1135/1000</f>
        <v>0</v>
      </c>
      <c r="M1482" s="19">
        <f>[1]TOBEPAID!M1135/1000</f>
        <v>0</v>
      </c>
      <c r="N1482" s="19">
        <f>[1]TOBEPAID!N1135/1000</f>
        <v>0</v>
      </c>
      <c r="O1482" s="19">
        <f>[1]TOBEPAID!O1135/1000</f>
        <v>271.34172999999998</v>
      </c>
      <c r="P1482" s="19">
        <f>[1]TOBEPAID!P1135/1000</f>
        <v>0</v>
      </c>
      <c r="Q1482" s="19">
        <f>[1]TOBEPAID!Q1135/1000</f>
        <v>0</v>
      </c>
      <c r="R1482" s="19">
        <f>298696/1000</f>
        <v>298.69600000000003</v>
      </c>
      <c r="S1482" s="19">
        <f>[1]TOBEPAID!S1135/1000</f>
        <v>248.02149</v>
      </c>
      <c r="T1482" s="19">
        <f>[1]TOBEPAID!T1135/1000</f>
        <v>0</v>
      </c>
      <c r="U1482" s="19">
        <f>[1]TOBEPAID!U1135/1000</f>
        <v>0</v>
      </c>
      <c r="V1482" s="19">
        <f>[1]TOBEPAID!V1135/1000</f>
        <v>0</v>
      </c>
      <c r="W1482" s="19">
        <f>[1]TOBEPAID!W1135/1000</f>
        <v>0</v>
      </c>
      <c r="X1482" s="19">
        <f>[1]TOBEPAID!X1135/1000</f>
        <v>271.34172999999998</v>
      </c>
      <c r="Y1482" s="19">
        <f>+H1482+R1482</f>
        <v>97734.918999999994</v>
      </c>
      <c r="Z1482" s="19">
        <f t="shared" ref="Z1482:Z1489" si="278">+D1482-Y1482</f>
        <v>13444.521000000008</v>
      </c>
      <c r="AA1482" s="19">
        <f>[1]TOBEPAID!AA1135/1000</f>
        <v>271.34172999999998</v>
      </c>
      <c r="AB1482" s="19">
        <f>[1]TOBEPAID!AB1135/1000</f>
        <v>66182.205399999992</v>
      </c>
      <c r="AC1482" s="19"/>
      <c r="AD1482" s="19"/>
      <c r="AS1482" s="34"/>
    </row>
    <row r="1483" spans="1:45" x14ac:dyDescent="0.2">
      <c r="C1483" s="3" t="s">
        <v>53</v>
      </c>
      <c r="D1483" s="19">
        <f>6771866/1000</f>
        <v>6771.866</v>
      </c>
      <c r="E1483" s="19">
        <f>[1]TOBEPAID!E1136/1000</f>
        <v>6771.866</v>
      </c>
      <c r="F1483" s="19">
        <f>[1]TOBEPAID!F1136/1000</f>
        <v>0</v>
      </c>
      <c r="G1483" s="19">
        <f>[1]TOBEPAID!G1136/1000</f>
        <v>0</v>
      </c>
      <c r="H1483" s="19">
        <f>6771866/1000</f>
        <v>6771.866</v>
      </c>
      <c r="I1483" s="19">
        <f>[1]TOBEPAID!I1136/1000</f>
        <v>0</v>
      </c>
      <c r="J1483" s="19">
        <f>[1]TOBEPAID!J1136/1000</f>
        <v>0</v>
      </c>
      <c r="K1483" s="19">
        <f>[1]TOBEPAID!K1136/1000</f>
        <v>0</v>
      </c>
      <c r="L1483" s="19">
        <f>[1]TOBEPAID!L1136/1000</f>
        <v>0</v>
      </c>
      <c r="M1483" s="19">
        <f>[1]TOBEPAID!M1136/1000</f>
        <v>0</v>
      </c>
      <c r="N1483" s="19">
        <f>[1]TOBEPAID!N1136/1000</f>
        <v>6771.866</v>
      </c>
      <c r="O1483" s="19">
        <f>[1]TOBEPAID!O1136/1000</f>
        <v>0</v>
      </c>
      <c r="P1483" s="19">
        <f>[1]TOBEPAID!P1136/1000</f>
        <v>0</v>
      </c>
      <c r="Q1483" s="19">
        <f>[1]TOBEPAID!Q1136/1000</f>
        <v>0</v>
      </c>
      <c r="R1483" s="19">
        <v>0</v>
      </c>
      <c r="S1483" s="19">
        <f>[1]TOBEPAID!S1136/1000</f>
        <v>0</v>
      </c>
      <c r="T1483" s="19">
        <f>[1]TOBEPAID!T1136/1000</f>
        <v>0</v>
      </c>
      <c r="U1483" s="19">
        <f>[1]TOBEPAID!U1136/1000</f>
        <v>0</v>
      </c>
      <c r="V1483" s="19">
        <f>[1]TOBEPAID!V1136/1000</f>
        <v>0</v>
      </c>
      <c r="W1483" s="19">
        <f>[1]TOBEPAID!W1136/1000</f>
        <v>0</v>
      </c>
      <c r="X1483" s="19">
        <f>[1]TOBEPAID!X1136/1000</f>
        <v>0</v>
      </c>
      <c r="Y1483" s="19">
        <f t="shared" ref="Y1483:Y1489" si="279">+H1483+R1483</f>
        <v>6771.866</v>
      </c>
      <c r="Z1483" s="19">
        <f t="shared" si="278"/>
        <v>0</v>
      </c>
      <c r="AA1483" s="19">
        <f>[1]TOBEPAID!AA1136/1000</f>
        <v>6771.866</v>
      </c>
      <c r="AB1483" s="19">
        <f>[1]TOBEPAID!AB1136/1000</f>
        <v>0</v>
      </c>
      <c r="AC1483" s="19"/>
      <c r="AD1483" s="19"/>
      <c r="AF1483" s="34"/>
      <c r="AG1483" s="34"/>
      <c r="AH1483" s="34"/>
      <c r="AI1483" s="34"/>
      <c r="AJ1483" s="34"/>
      <c r="AK1483" s="34"/>
      <c r="AL1483" s="34"/>
      <c r="AM1483" s="34"/>
      <c r="AN1483" s="34"/>
      <c r="AO1483" s="34"/>
      <c r="AP1483" s="34"/>
      <c r="AQ1483" s="34"/>
      <c r="AR1483" s="34"/>
    </row>
    <row r="1484" spans="1:45" x14ac:dyDescent="0.2">
      <c r="C1484" s="3" t="s">
        <v>271</v>
      </c>
      <c r="D1484" s="19">
        <f>15000000/1000</f>
        <v>15000</v>
      </c>
      <c r="E1484" s="19"/>
      <c r="F1484" s="19"/>
      <c r="G1484" s="19"/>
      <c r="H1484" s="19">
        <f>15000000/1000</f>
        <v>15000</v>
      </c>
      <c r="I1484" s="19"/>
      <c r="J1484" s="19"/>
      <c r="K1484" s="19"/>
      <c r="L1484" s="19"/>
      <c r="M1484" s="19"/>
      <c r="N1484" s="19"/>
      <c r="O1484" s="19"/>
      <c r="P1484" s="19"/>
      <c r="Q1484" s="19"/>
      <c r="R1484" s="19">
        <v>0</v>
      </c>
      <c r="S1484" s="19"/>
      <c r="T1484" s="19"/>
      <c r="U1484" s="19"/>
      <c r="V1484" s="19"/>
      <c r="W1484" s="19"/>
      <c r="X1484" s="19"/>
      <c r="Y1484" s="19">
        <f t="shared" si="279"/>
        <v>15000</v>
      </c>
      <c r="Z1484" s="19">
        <f t="shared" si="278"/>
        <v>0</v>
      </c>
      <c r="AA1484" s="19"/>
      <c r="AB1484" s="19"/>
      <c r="AC1484" s="19"/>
      <c r="AD1484" s="19"/>
      <c r="AF1484" s="34"/>
      <c r="AG1484" s="34"/>
      <c r="AH1484" s="34"/>
      <c r="AI1484" s="34"/>
      <c r="AJ1484" s="34"/>
      <c r="AK1484" s="34"/>
      <c r="AL1484" s="34"/>
      <c r="AM1484" s="34"/>
      <c r="AN1484" s="34"/>
      <c r="AO1484" s="34"/>
      <c r="AP1484" s="34"/>
      <c r="AQ1484" s="34"/>
      <c r="AR1484" s="34"/>
    </row>
    <row r="1485" spans="1:45" x14ac:dyDescent="0.2">
      <c r="C1485" s="3" t="s">
        <v>67</v>
      </c>
      <c r="D1485" s="19">
        <f>9000000/1000</f>
        <v>9000</v>
      </c>
      <c r="E1485" s="19"/>
      <c r="F1485" s="19"/>
      <c r="G1485" s="19"/>
      <c r="H1485" s="19">
        <f>9000000/1000</f>
        <v>9000</v>
      </c>
      <c r="I1485" s="19"/>
      <c r="J1485" s="19"/>
      <c r="K1485" s="19"/>
      <c r="L1485" s="19"/>
      <c r="M1485" s="19"/>
      <c r="N1485" s="19"/>
      <c r="O1485" s="19"/>
      <c r="P1485" s="19"/>
      <c r="Q1485" s="19"/>
      <c r="R1485" s="19">
        <v>0</v>
      </c>
      <c r="S1485" s="19"/>
      <c r="T1485" s="19"/>
      <c r="U1485" s="19"/>
      <c r="V1485" s="19"/>
      <c r="W1485" s="19"/>
      <c r="X1485" s="19"/>
      <c r="Y1485" s="19">
        <f>+H1485+R1485</f>
        <v>9000</v>
      </c>
      <c r="Z1485" s="19">
        <f t="shared" si="278"/>
        <v>0</v>
      </c>
      <c r="AA1485" s="19"/>
      <c r="AB1485" s="19"/>
      <c r="AC1485" s="19"/>
      <c r="AD1485" s="19"/>
      <c r="AF1485" s="34"/>
      <c r="AG1485" s="34"/>
      <c r="AH1485" s="34"/>
      <c r="AI1485" s="34"/>
      <c r="AJ1485" s="34"/>
      <c r="AK1485" s="34"/>
      <c r="AL1485" s="34"/>
      <c r="AM1485" s="34"/>
      <c r="AN1485" s="34"/>
      <c r="AO1485" s="34"/>
      <c r="AP1485" s="34"/>
      <c r="AQ1485" s="34"/>
      <c r="AR1485" s="34"/>
    </row>
    <row r="1486" spans="1:45" x14ac:dyDescent="0.2">
      <c r="A1486" s="18"/>
      <c r="C1486" s="20" t="s">
        <v>52</v>
      </c>
      <c r="D1486" s="19">
        <f>5403040/1000</f>
        <v>5403.04</v>
      </c>
      <c r="E1486" s="19">
        <f>[1]TOBEPAID!E1137/1000</f>
        <v>5403.0408499999994</v>
      </c>
      <c r="F1486" s="19">
        <f>[1]TOBEPAID!F1137/1000</f>
        <v>0</v>
      </c>
      <c r="G1486" s="19">
        <f>[1]TOBEPAID!G1137/1000</f>
        <v>0</v>
      </c>
      <c r="H1486" s="19">
        <f>5403040/1000</f>
        <v>5403.04</v>
      </c>
      <c r="I1486" s="19">
        <f>[1]TOBEPAID!I1137/1000</f>
        <v>0</v>
      </c>
      <c r="J1486" s="19">
        <f>[1]TOBEPAID!J1137/1000</f>
        <v>0</v>
      </c>
      <c r="K1486" s="19">
        <f>[1]TOBEPAID!K1137/1000</f>
        <v>0</v>
      </c>
      <c r="L1486" s="19">
        <f>[1]TOBEPAID!L1137/1000</f>
        <v>0</v>
      </c>
      <c r="M1486" s="19">
        <f>[1]TOBEPAID!M1137/1000</f>
        <v>0</v>
      </c>
      <c r="N1486" s="19">
        <f>[1]TOBEPAID!N1137/1000</f>
        <v>5403.0408499999994</v>
      </c>
      <c r="O1486" s="19">
        <f>[1]TOBEPAID!O1137/1000</f>
        <v>0</v>
      </c>
      <c r="P1486" s="19">
        <f>[1]TOBEPAID!P1137/1000</f>
        <v>0</v>
      </c>
      <c r="Q1486" s="19">
        <f>[1]TOBEPAID!Q1137/1000</f>
        <v>0</v>
      </c>
      <c r="R1486" s="19">
        <v>0</v>
      </c>
      <c r="S1486" s="19">
        <f>[1]TOBEPAID!S1137/1000</f>
        <v>0</v>
      </c>
      <c r="T1486" s="19">
        <f>[1]TOBEPAID!T1137/1000</f>
        <v>0</v>
      </c>
      <c r="U1486" s="19">
        <f>[1]TOBEPAID!U1137/1000</f>
        <v>0</v>
      </c>
      <c r="V1486" s="19">
        <f>[1]TOBEPAID!V1137/1000</f>
        <v>0</v>
      </c>
      <c r="W1486" s="19">
        <f>[1]TOBEPAID!W1137/1000</f>
        <v>0</v>
      </c>
      <c r="X1486" s="19">
        <f>[1]TOBEPAID!X1137/1000</f>
        <v>0</v>
      </c>
      <c r="Y1486" s="19">
        <f t="shared" si="279"/>
        <v>5403.04</v>
      </c>
      <c r="Z1486" s="19">
        <f t="shared" si="278"/>
        <v>0</v>
      </c>
      <c r="AA1486" s="19">
        <f>[1]TOBEPAID!AA1137/1000</f>
        <v>5403.0408499999994</v>
      </c>
      <c r="AB1486" s="19">
        <f>[1]TOBEPAID!AB1137/1000</f>
        <v>0</v>
      </c>
      <c r="AC1486" s="19"/>
      <c r="AD1486" s="19"/>
      <c r="AS1486" s="34"/>
    </row>
    <row r="1487" spans="1:45" x14ac:dyDescent="0.2">
      <c r="C1487" s="3" t="s">
        <v>78</v>
      </c>
      <c r="D1487" s="19">
        <f>4600000/1000</f>
        <v>4600</v>
      </c>
      <c r="E1487" s="19">
        <f>[1]TOBEPAID!E1138/1000</f>
        <v>4600</v>
      </c>
      <c r="F1487" s="19">
        <f>[1]TOBEPAID!F1138/1000</f>
        <v>0</v>
      </c>
      <c r="G1487" s="19">
        <f>[1]TOBEPAID!G1138/1000</f>
        <v>0</v>
      </c>
      <c r="H1487" s="19">
        <f>4600000/1000</f>
        <v>4600</v>
      </c>
      <c r="I1487" s="19">
        <f>[1]TOBEPAID!I1138/1000</f>
        <v>0</v>
      </c>
      <c r="J1487" s="19">
        <f>[1]TOBEPAID!J1138/1000</f>
        <v>0</v>
      </c>
      <c r="K1487" s="19">
        <f>[1]TOBEPAID!K1138/1000</f>
        <v>0</v>
      </c>
      <c r="L1487" s="19">
        <f>[1]TOBEPAID!L1138/1000</f>
        <v>0</v>
      </c>
      <c r="M1487" s="19">
        <f>[1]TOBEPAID!M1138/1000</f>
        <v>0</v>
      </c>
      <c r="N1487" s="19">
        <f>[1]TOBEPAID!N1138/1000</f>
        <v>4600</v>
      </c>
      <c r="O1487" s="19">
        <f>[1]TOBEPAID!O1138/1000</f>
        <v>0</v>
      </c>
      <c r="P1487" s="19">
        <f>[1]TOBEPAID!P1138/1000</f>
        <v>0</v>
      </c>
      <c r="Q1487" s="19">
        <f>[1]TOBEPAID!Q1138/1000</f>
        <v>0</v>
      </c>
      <c r="R1487" s="19">
        <v>0</v>
      </c>
      <c r="S1487" s="19">
        <f>[1]TOBEPAID!S1138/1000</f>
        <v>0</v>
      </c>
      <c r="T1487" s="19">
        <f>[1]TOBEPAID!T1138/1000</f>
        <v>0</v>
      </c>
      <c r="U1487" s="19">
        <f>[1]TOBEPAID!U1138/1000</f>
        <v>0</v>
      </c>
      <c r="V1487" s="19">
        <f>[1]TOBEPAID!V1138/1000</f>
        <v>0</v>
      </c>
      <c r="W1487" s="19">
        <f>[1]TOBEPAID!W1138/1000</f>
        <v>0</v>
      </c>
      <c r="X1487" s="19">
        <f>[1]TOBEPAID!X1138/1000</f>
        <v>0</v>
      </c>
      <c r="Y1487" s="19">
        <f t="shared" si="279"/>
        <v>4600</v>
      </c>
      <c r="Z1487" s="19">
        <f t="shared" si="278"/>
        <v>0</v>
      </c>
      <c r="AA1487" s="19">
        <f>[1]TOBEPAID!AA1138/1000</f>
        <v>4600</v>
      </c>
      <c r="AB1487" s="19">
        <f>[1]TOBEPAID!AB1138/1000</f>
        <v>0</v>
      </c>
      <c r="AC1487" s="19"/>
      <c r="AD1487" s="19"/>
      <c r="AF1487" s="34"/>
      <c r="AG1487" s="34"/>
      <c r="AH1487" s="34"/>
      <c r="AI1487" s="34"/>
      <c r="AJ1487" s="34"/>
      <c r="AK1487" s="34"/>
      <c r="AL1487" s="34"/>
      <c r="AM1487" s="34"/>
      <c r="AN1487" s="34"/>
      <c r="AO1487" s="34"/>
      <c r="AP1487" s="34"/>
      <c r="AQ1487" s="34"/>
      <c r="AR1487" s="34"/>
      <c r="AS1487" s="34"/>
    </row>
    <row r="1488" spans="1:45" x14ac:dyDescent="0.2">
      <c r="A1488" s="18"/>
      <c r="C1488" s="17" t="s">
        <v>54</v>
      </c>
      <c r="D1488" s="19">
        <f>61747716/1000</f>
        <v>61747.716</v>
      </c>
      <c r="E1488" s="19">
        <f>[1]TOBEPAID!E1139/1000</f>
        <v>0</v>
      </c>
      <c r="F1488" s="19">
        <f>[1]TOBEPAID!F1139/1000</f>
        <v>0</v>
      </c>
      <c r="G1488" s="19">
        <f>[1]TOBEPAID!G1139/1000</f>
        <v>0</v>
      </c>
      <c r="H1488" s="19">
        <v>0</v>
      </c>
      <c r="I1488" s="19">
        <f>[1]TOBEPAID!I1139/1000</f>
        <v>0</v>
      </c>
      <c r="J1488" s="19">
        <f>[1]TOBEPAID!J1139/1000</f>
        <v>0</v>
      </c>
      <c r="K1488" s="19">
        <f>[1]TOBEPAID!K1139/1000</f>
        <v>0</v>
      </c>
      <c r="L1488" s="19">
        <f>[1]TOBEPAID!L1139/1000</f>
        <v>0</v>
      </c>
      <c r="M1488" s="19">
        <f>[1]TOBEPAID!M1139/1000</f>
        <v>0</v>
      </c>
      <c r="N1488" s="19">
        <f>[1]TOBEPAID!N1139/1000</f>
        <v>0</v>
      </c>
      <c r="O1488" s="19">
        <f>[1]TOBEPAID!O1139/1000</f>
        <v>0</v>
      </c>
      <c r="P1488" s="19">
        <f>[1]TOBEPAID!P1139/1000</f>
        <v>0</v>
      </c>
      <c r="Q1488" s="19">
        <f>[1]TOBEPAID!Q1139/1000</f>
        <v>0</v>
      </c>
      <c r="R1488" s="19">
        <v>0</v>
      </c>
      <c r="S1488" s="19">
        <f>[1]TOBEPAID!S1139/1000</f>
        <v>0</v>
      </c>
      <c r="T1488" s="19">
        <f>[1]TOBEPAID!T1139/1000</f>
        <v>0</v>
      </c>
      <c r="U1488" s="19">
        <f>[1]TOBEPAID!U1139/1000</f>
        <v>0</v>
      </c>
      <c r="V1488" s="19">
        <f>[1]TOBEPAID!V1139/1000</f>
        <v>0</v>
      </c>
      <c r="W1488" s="19">
        <f>[1]TOBEPAID!W1139/1000</f>
        <v>0</v>
      </c>
      <c r="X1488" s="19">
        <f>[1]TOBEPAID!X1139/1000</f>
        <v>0</v>
      </c>
      <c r="Y1488" s="19">
        <f t="shared" si="279"/>
        <v>0</v>
      </c>
      <c r="Z1488" s="19">
        <f t="shared" si="278"/>
        <v>61747.716</v>
      </c>
      <c r="AA1488" s="19">
        <f>[1]TOBEPAID!AA1139/1000</f>
        <v>0</v>
      </c>
      <c r="AB1488" s="19">
        <f>[1]TOBEPAID!AB1139/1000</f>
        <v>121199.50233</v>
      </c>
      <c r="AC1488" s="19"/>
      <c r="AD1488" s="19"/>
      <c r="AF1488" s="34"/>
      <c r="AG1488" s="34"/>
      <c r="AH1488" s="34"/>
      <c r="AI1488" s="34"/>
      <c r="AJ1488" s="34"/>
      <c r="AK1488" s="34"/>
      <c r="AL1488" s="34"/>
      <c r="AM1488" s="34"/>
      <c r="AN1488" s="34"/>
      <c r="AO1488" s="34"/>
      <c r="AP1488" s="34"/>
      <c r="AQ1488" s="34"/>
      <c r="AR1488" s="34"/>
      <c r="AS1488" s="34"/>
    </row>
    <row r="1489" spans="1:45" x14ac:dyDescent="0.2">
      <c r="A1489" s="18"/>
      <c r="C1489" s="31" t="s">
        <v>56</v>
      </c>
      <c r="D1489" s="19">
        <f>16662955/1000</f>
        <v>16662.955000000002</v>
      </c>
      <c r="E1489" s="19">
        <f>[1]TOBEPAID!E1140/1000</f>
        <v>0</v>
      </c>
      <c r="F1489" s="19">
        <f>[1]TOBEPAID!F1140/1000</f>
        <v>0</v>
      </c>
      <c r="G1489" s="19">
        <f>[1]TOBEPAID!G1140/1000</f>
        <v>0</v>
      </c>
      <c r="H1489" s="19">
        <v>0</v>
      </c>
      <c r="I1489" s="19">
        <f>[1]TOBEPAID!I1140/1000</f>
        <v>0</v>
      </c>
      <c r="J1489" s="19">
        <f>[1]TOBEPAID!J1140/1000</f>
        <v>0</v>
      </c>
      <c r="K1489" s="19">
        <f>[1]TOBEPAID!K1140/1000</f>
        <v>0</v>
      </c>
      <c r="L1489" s="19">
        <f>[1]TOBEPAID!L1140/1000</f>
        <v>0</v>
      </c>
      <c r="M1489" s="19">
        <f>[1]TOBEPAID!M1140/1000</f>
        <v>0</v>
      </c>
      <c r="N1489" s="19">
        <f>[1]TOBEPAID!N1140/1000</f>
        <v>0</v>
      </c>
      <c r="O1489" s="19">
        <f>[1]TOBEPAID!O1140/1000</f>
        <v>0</v>
      </c>
      <c r="P1489" s="19">
        <f>[1]TOBEPAID!P1140/1000</f>
        <v>0</v>
      </c>
      <c r="Q1489" s="19">
        <f>[1]TOBEPAID!Q1140/1000</f>
        <v>0</v>
      </c>
      <c r="R1489" s="19">
        <v>0</v>
      </c>
      <c r="S1489" s="19">
        <f>[1]TOBEPAID!S1140/1000</f>
        <v>0</v>
      </c>
      <c r="T1489" s="19">
        <f>[1]TOBEPAID!T1140/1000</f>
        <v>0</v>
      </c>
      <c r="U1489" s="19">
        <f>[1]TOBEPAID!U1140/1000</f>
        <v>0</v>
      </c>
      <c r="V1489" s="19">
        <f>[1]TOBEPAID!V1140/1000</f>
        <v>0</v>
      </c>
      <c r="W1489" s="19">
        <f>[1]TOBEPAID!W1140/1000</f>
        <v>0</v>
      </c>
      <c r="X1489" s="19">
        <f>[1]TOBEPAID!X1140/1000</f>
        <v>0</v>
      </c>
      <c r="Y1489" s="19">
        <f t="shared" si="279"/>
        <v>0</v>
      </c>
      <c r="Z1489" s="19">
        <f t="shared" si="278"/>
        <v>16662.955000000002</v>
      </c>
      <c r="AA1489" s="19">
        <f>[1]TOBEPAID!AA1140/1000</f>
        <v>0</v>
      </c>
      <c r="AB1489" s="19">
        <f>[1]TOBEPAID!AB1140/1000</f>
        <v>1937.06294</v>
      </c>
      <c r="AC1489" s="19"/>
      <c r="AD1489" s="19"/>
      <c r="AF1489" s="34"/>
      <c r="AG1489" s="34"/>
      <c r="AH1489" s="34"/>
      <c r="AI1489" s="34"/>
      <c r="AJ1489" s="34"/>
      <c r="AK1489" s="34"/>
      <c r="AL1489" s="34"/>
      <c r="AM1489" s="34"/>
      <c r="AN1489" s="34"/>
      <c r="AO1489" s="34"/>
      <c r="AP1489" s="34"/>
      <c r="AQ1489" s="34"/>
      <c r="AR1489" s="34"/>
      <c r="AS1489" s="34"/>
    </row>
    <row r="1490" spans="1:45" x14ac:dyDescent="0.2">
      <c r="A1490" s="18"/>
      <c r="D1490" s="21" t="s">
        <v>57</v>
      </c>
      <c r="E1490" s="21" t="s">
        <v>57</v>
      </c>
      <c r="F1490" s="21" t="s">
        <v>57</v>
      </c>
      <c r="G1490" s="21"/>
      <c r="H1490" s="21" t="s">
        <v>57</v>
      </c>
      <c r="I1490" s="21" t="s">
        <v>57</v>
      </c>
      <c r="J1490" s="21" t="s">
        <v>57</v>
      </c>
      <c r="K1490" s="21" t="s">
        <v>57</v>
      </c>
      <c r="L1490" s="21" t="s">
        <v>57</v>
      </c>
      <c r="M1490" s="21"/>
      <c r="N1490" s="21" t="s">
        <v>57</v>
      </c>
      <c r="O1490" s="21" t="s">
        <v>57</v>
      </c>
      <c r="P1490" s="21" t="s">
        <v>57</v>
      </c>
      <c r="Q1490" s="21"/>
      <c r="R1490" s="21" t="s">
        <v>57</v>
      </c>
      <c r="S1490" s="21" t="s">
        <v>57</v>
      </c>
      <c r="T1490" s="21" t="s">
        <v>57</v>
      </c>
      <c r="U1490" s="21" t="s">
        <v>57</v>
      </c>
      <c r="V1490" s="21" t="s">
        <v>57</v>
      </c>
      <c r="W1490" s="21"/>
      <c r="X1490" s="21" t="s">
        <v>57</v>
      </c>
      <c r="Y1490" s="21" t="s">
        <v>57</v>
      </c>
      <c r="Z1490" s="21" t="s">
        <v>57</v>
      </c>
      <c r="AA1490" s="21" t="s">
        <v>57</v>
      </c>
      <c r="AB1490" s="21" t="s">
        <v>57</v>
      </c>
      <c r="AC1490" s="21"/>
      <c r="AD1490" s="21"/>
      <c r="AF1490" s="34"/>
      <c r="AG1490" s="34"/>
      <c r="AH1490" s="34"/>
      <c r="AI1490" s="34"/>
      <c r="AJ1490" s="34"/>
      <c r="AK1490" s="34"/>
      <c r="AL1490" s="34"/>
      <c r="AM1490" s="34"/>
      <c r="AN1490" s="34"/>
      <c r="AO1490" s="34"/>
      <c r="AP1490" s="34"/>
      <c r="AQ1490" s="34"/>
      <c r="AR1490" s="34"/>
      <c r="AS1490" s="34"/>
    </row>
    <row r="1491" spans="1:45" x14ac:dyDescent="0.2">
      <c r="A1491" s="18"/>
      <c r="D1491" s="19">
        <f>SUM(D1482:D1489)</f>
        <v>230365.01699999999</v>
      </c>
      <c r="E1491" s="19">
        <f>SUM(E1482:E1489)</f>
        <v>16774.906849999999</v>
      </c>
      <c r="F1491" s="19">
        <f>SUM(F1482:F1489)</f>
        <v>0</v>
      </c>
      <c r="G1491" s="19"/>
      <c r="H1491" s="19">
        <f>SUM(H1482:H1489)</f>
        <v>138211.12899999999</v>
      </c>
      <c r="I1491" s="19">
        <f>SUM(I1482:I1489)</f>
        <v>0</v>
      </c>
      <c r="J1491" s="19">
        <f>SUM(J1482:J1489)</f>
        <v>0</v>
      </c>
      <c r="K1491" s="19">
        <f>SUM(K1482:K1489)</f>
        <v>0</v>
      </c>
      <c r="L1491" s="19">
        <f>SUM(L1482:L1489)</f>
        <v>0</v>
      </c>
      <c r="M1491" s="19"/>
      <c r="N1491" s="19">
        <f>SUM(N1482:N1489)</f>
        <v>16774.906849999999</v>
      </c>
      <c r="O1491" s="19">
        <f>SUM(O1482:O1489)</f>
        <v>271.34172999999998</v>
      </c>
      <c r="P1491" s="19">
        <f>SUM(P1482:P1489)</f>
        <v>0</v>
      </c>
      <c r="Q1491" s="19"/>
      <c r="R1491" s="19">
        <f>SUM(R1482:R1489)</f>
        <v>298.69600000000003</v>
      </c>
      <c r="S1491" s="19">
        <f>SUM(S1482:S1489)</f>
        <v>248.02149</v>
      </c>
      <c r="T1491" s="19">
        <f>SUM(T1482:T1489)</f>
        <v>0</v>
      </c>
      <c r="U1491" s="19">
        <f>SUM(U1482:U1489)</f>
        <v>0</v>
      </c>
      <c r="V1491" s="19">
        <f>SUM(V1482:V1489)</f>
        <v>0</v>
      </c>
      <c r="W1491" s="19"/>
      <c r="X1491" s="19">
        <f>SUM(X1482:X1489)</f>
        <v>271.34172999999998</v>
      </c>
      <c r="Y1491" s="19">
        <f>SUM(Y1482:Y1489)</f>
        <v>138509.82499999998</v>
      </c>
      <c r="Z1491" s="19">
        <f>SUM(Z1482:Z1489)</f>
        <v>91855.19200000001</v>
      </c>
      <c r="AA1491" s="19">
        <f>SUM(AA1482:AA1489)</f>
        <v>17046.248579999999</v>
      </c>
      <c r="AB1491" s="19">
        <f>SUM(AB1482:AB1489)</f>
        <v>189318.77067</v>
      </c>
      <c r="AC1491" s="19"/>
      <c r="AD1491" s="19"/>
      <c r="AF1491" s="34"/>
      <c r="AG1491" s="34"/>
      <c r="AH1491" s="34"/>
      <c r="AI1491" s="34"/>
      <c r="AJ1491" s="34"/>
      <c r="AK1491" s="34"/>
      <c r="AL1491" s="34"/>
      <c r="AM1491" s="34"/>
      <c r="AN1491" s="34"/>
      <c r="AO1491" s="34"/>
      <c r="AP1491" s="34"/>
      <c r="AQ1491" s="34"/>
      <c r="AR1491" s="34"/>
      <c r="AS1491" s="34">
        <f>+AF1492-AK1492-AP1492</f>
        <v>6000</v>
      </c>
    </row>
    <row r="1492" spans="1:45" x14ac:dyDescent="0.2">
      <c r="A1492" s="18"/>
      <c r="D1492" s="21" t="s">
        <v>57</v>
      </c>
      <c r="E1492" s="21" t="s">
        <v>57</v>
      </c>
      <c r="F1492" s="21" t="s">
        <v>57</v>
      </c>
      <c r="G1492" s="21"/>
      <c r="H1492" s="21" t="s">
        <v>57</v>
      </c>
      <c r="I1492" s="21" t="s">
        <v>57</v>
      </c>
      <c r="J1492" s="21" t="s">
        <v>57</v>
      </c>
      <c r="K1492" s="21" t="s">
        <v>57</v>
      </c>
      <c r="L1492" s="21" t="s">
        <v>57</v>
      </c>
      <c r="M1492" s="21"/>
      <c r="N1492" s="21" t="s">
        <v>57</v>
      </c>
      <c r="O1492" s="21" t="s">
        <v>57</v>
      </c>
      <c r="P1492" s="21" t="s">
        <v>57</v>
      </c>
      <c r="Q1492" s="21"/>
      <c r="R1492" s="21" t="s">
        <v>57</v>
      </c>
      <c r="S1492" s="21" t="s">
        <v>57</v>
      </c>
      <c r="T1492" s="21" t="s">
        <v>57</v>
      </c>
      <c r="U1492" s="21" t="s">
        <v>57</v>
      </c>
      <c r="V1492" s="21" t="s">
        <v>57</v>
      </c>
      <c r="W1492" s="21"/>
      <c r="X1492" s="21" t="s">
        <v>57</v>
      </c>
      <c r="Y1492" s="21" t="s">
        <v>57</v>
      </c>
      <c r="Z1492" s="21" t="s">
        <v>57</v>
      </c>
      <c r="AA1492" s="21" t="s">
        <v>57</v>
      </c>
      <c r="AB1492" s="21" t="s">
        <v>57</v>
      </c>
      <c r="AC1492" s="21"/>
      <c r="AD1492" s="21"/>
      <c r="AF1492" s="34">
        <f>+D1463+D1483</f>
        <v>12771.866</v>
      </c>
      <c r="AG1492" s="34">
        <f>+E1463+E1483</f>
        <v>6771.866</v>
      </c>
      <c r="AH1492" s="34">
        <f>+F1463+F1483</f>
        <v>0</v>
      </c>
      <c r="AI1492" s="34">
        <f>+AG1492+AH1492</f>
        <v>6771.866</v>
      </c>
      <c r="AJ1492" s="34">
        <f>+L1463+L1483</f>
        <v>0</v>
      </c>
      <c r="AK1492" s="34">
        <f>+AI1492+AJ1492</f>
        <v>6771.866</v>
      </c>
      <c r="AL1492" s="34">
        <f>+O1463+O1483</f>
        <v>0</v>
      </c>
      <c r="AM1492" s="34">
        <f>+P1463+P1483</f>
        <v>0</v>
      </c>
      <c r="AN1492" s="34">
        <f>+AL1492+AM1492</f>
        <v>0</v>
      </c>
      <c r="AO1492" s="34">
        <f>+V1463+V1483</f>
        <v>0</v>
      </c>
      <c r="AP1492" s="34">
        <f>+AN1492+AO1492</f>
        <v>0</v>
      </c>
      <c r="AQ1492" s="34">
        <f>+AI1492+AN1492</f>
        <v>6771.866</v>
      </c>
      <c r="AR1492" s="34">
        <f>+AF1492-AQ1492</f>
        <v>6000</v>
      </c>
      <c r="AS1492" s="34">
        <f>+AF1493-AK1493-AP1493</f>
        <v>0</v>
      </c>
    </row>
    <row r="1493" spans="1:45" x14ac:dyDescent="0.2">
      <c r="A1493" s="18"/>
      <c r="D1493" s="21"/>
      <c r="E1493" s="21"/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  <c r="Q1493" s="21"/>
      <c r="R1493" s="21"/>
      <c r="S1493" s="21"/>
      <c r="T1493" s="21"/>
      <c r="U1493" s="21"/>
      <c r="V1493" s="21"/>
      <c r="W1493" s="21"/>
      <c r="X1493" s="21"/>
      <c r="Y1493" s="21"/>
      <c r="Z1493" s="21"/>
      <c r="AA1493" s="21"/>
      <c r="AB1493" s="21"/>
      <c r="AC1493" s="21"/>
      <c r="AD1493" s="21"/>
      <c r="AE1493" s="25" t="s">
        <v>72</v>
      </c>
      <c r="AF1493" s="34">
        <f>+D1487+D1462+D1496</f>
        <v>15100</v>
      </c>
      <c r="AG1493" s="34">
        <f>+E1487+E1462+E1496</f>
        <v>15100</v>
      </c>
      <c r="AH1493" s="34">
        <f>+F1487+F1462+F1496</f>
        <v>0</v>
      </c>
      <c r="AI1493" s="34">
        <f>+AG1493+AH1493</f>
        <v>15100</v>
      </c>
      <c r="AJ1493" s="34">
        <f>+L1487+L1462</f>
        <v>0</v>
      </c>
      <c r="AK1493" s="34">
        <f>+AI1493+AJ1493</f>
        <v>15100</v>
      </c>
      <c r="AL1493" s="34">
        <f>+O1487+O1462</f>
        <v>0</v>
      </c>
      <c r="AM1493" s="34">
        <f>+P1487+P1462</f>
        <v>0</v>
      </c>
      <c r="AN1493" s="34">
        <f>+AL1493+AM1493</f>
        <v>0</v>
      </c>
      <c r="AO1493" s="34">
        <f>+V1487+V1462</f>
        <v>0</v>
      </c>
      <c r="AP1493" s="34">
        <f>+AN1493+AO1493</f>
        <v>0</v>
      </c>
      <c r="AQ1493" s="34">
        <f>+AI1493+AN1493</f>
        <v>15100</v>
      </c>
      <c r="AR1493" s="34">
        <f>+AF1493-AQ1493</f>
        <v>0</v>
      </c>
    </row>
    <row r="1494" spans="1:45" x14ac:dyDescent="0.2">
      <c r="A1494" s="18">
        <v>119</v>
      </c>
      <c r="B1494" s="54" t="s">
        <v>398</v>
      </c>
      <c r="C1494" s="20" t="s">
        <v>51</v>
      </c>
      <c r="D1494" s="19">
        <f>550293/1000</f>
        <v>550.29300000000001</v>
      </c>
      <c r="E1494" s="19">
        <f>[1]TOBEPAID!E1145/1000</f>
        <v>0</v>
      </c>
      <c r="F1494" s="19">
        <f>[1]TOBEPAID!F1145/1000</f>
        <v>0</v>
      </c>
      <c r="G1494" s="19">
        <f>[1]TOBEPAID!G1145/1000</f>
        <v>0</v>
      </c>
      <c r="H1494" s="19">
        <v>0</v>
      </c>
      <c r="I1494" s="19">
        <f>[1]TOBEPAID!I1145/1000</f>
        <v>0</v>
      </c>
      <c r="J1494" s="19">
        <f>[1]TOBEPAID!J1145/1000</f>
        <v>0</v>
      </c>
      <c r="K1494" s="19">
        <f>[1]TOBEPAID!K1145/1000</f>
        <v>0</v>
      </c>
      <c r="L1494" s="19">
        <f>[1]TOBEPAID!L1145/1000</f>
        <v>0</v>
      </c>
      <c r="M1494" s="19">
        <f>[1]TOBEPAID!M1145/1000</f>
        <v>0</v>
      </c>
      <c r="N1494" s="19">
        <f>[1]TOBEPAID!N1145/1000</f>
        <v>0</v>
      </c>
      <c r="O1494" s="19">
        <f>[1]TOBEPAID!O1145/1000</f>
        <v>0</v>
      </c>
      <c r="P1494" s="19">
        <f>[1]TOBEPAID!P1145/1000</f>
        <v>0</v>
      </c>
      <c r="Q1494" s="19">
        <f>[1]TOBEPAID!Q1145/1000</f>
        <v>0</v>
      </c>
      <c r="R1494" s="19">
        <f>613474/1000</f>
        <v>613.47400000000005</v>
      </c>
      <c r="S1494" s="19">
        <f>[1]TOBEPAID!S1145/1000</f>
        <v>0</v>
      </c>
      <c r="T1494" s="19">
        <f>[1]TOBEPAID!T1145/1000</f>
        <v>0</v>
      </c>
      <c r="U1494" s="19">
        <f>[1]TOBEPAID!U1145/1000</f>
        <v>0</v>
      </c>
      <c r="V1494" s="19">
        <f>[1]TOBEPAID!V1145/1000</f>
        <v>0</v>
      </c>
      <c r="W1494" s="19">
        <f>[1]TOBEPAID!W1145/1000</f>
        <v>0</v>
      </c>
      <c r="X1494" s="19">
        <f>[1]TOBEPAID!X1145/1000</f>
        <v>0</v>
      </c>
      <c r="Y1494" s="19">
        <f>+H1494+R1494</f>
        <v>613.47400000000005</v>
      </c>
      <c r="Z1494" s="19">
        <f t="shared" ref="Z1494:Z1503" si="280">+D1494-Y1494</f>
        <v>-63.18100000000004</v>
      </c>
      <c r="AA1494" s="19">
        <f>[1]TOBEPAID!AA1145/1000</f>
        <v>0</v>
      </c>
      <c r="AB1494" s="19">
        <f>[1]TOBEPAID!AB1145/1000</f>
        <v>13050.293369999999</v>
      </c>
      <c r="AC1494" s="19" t="s">
        <v>116</v>
      </c>
      <c r="AD1494" s="19"/>
      <c r="AE1494" s="25" t="s">
        <v>78</v>
      </c>
    </row>
    <row r="1495" spans="1:45" x14ac:dyDescent="0.2">
      <c r="A1495" s="18"/>
      <c r="B1495" s="54"/>
      <c r="C1495" s="20" t="s">
        <v>126</v>
      </c>
      <c r="D1495" s="19">
        <f>199260000/1000</f>
        <v>199260</v>
      </c>
      <c r="E1495" s="19"/>
      <c r="F1495" s="19"/>
      <c r="G1495" s="19"/>
      <c r="H1495" s="19">
        <v>0</v>
      </c>
      <c r="I1495" s="19"/>
      <c r="J1495" s="19"/>
      <c r="K1495" s="19"/>
      <c r="L1495" s="19"/>
      <c r="M1495" s="19"/>
      <c r="N1495" s="19"/>
      <c r="O1495" s="19"/>
      <c r="P1495" s="19"/>
      <c r="Q1495" s="19"/>
      <c r="R1495" s="19">
        <v>0</v>
      </c>
      <c r="S1495" s="19"/>
      <c r="T1495" s="19"/>
      <c r="U1495" s="19"/>
      <c r="V1495" s="19"/>
      <c r="W1495" s="19"/>
      <c r="X1495" s="19"/>
      <c r="Y1495" s="19">
        <f>+H1495+R1495</f>
        <v>0</v>
      </c>
      <c r="Z1495" s="19">
        <f>+D1495-Y1495</f>
        <v>199260</v>
      </c>
      <c r="AA1495" s="19"/>
      <c r="AB1495" s="19"/>
      <c r="AC1495" s="19"/>
      <c r="AD1495" s="19"/>
      <c r="AE1495" s="25"/>
    </row>
    <row r="1496" spans="1:45" x14ac:dyDescent="0.2">
      <c r="C1496" s="3" t="s">
        <v>78</v>
      </c>
      <c r="D1496" s="19">
        <f>8000000/1000</f>
        <v>8000</v>
      </c>
      <c r="E1496" s="19">
        <f>[1]TOBEPAID!E1146/1000</f>
        <v>8000</v>
      </c>
      <c r="F1496" s="19">
        <f>[1]TOBEPAID!F1146/1000</f>
        <v>0</v>
      </c>
      <c r="G1496" s="19">
        <f>[1]TOBEPAID!G1146/1000</f>
        <v>0</v>
      </c>
      <c r="H1496" s="19">
        <f>8000000/1000</f>
        <v>8000</v>
      </c>
      <c r="I1496" s="19">
        <f>[1]TOBEPAID!I1146/1000</f>
        <v>0</v>
      </c>
      <c r="J1496" s="19">
        <f>[1]TOBEPAID!J1146/1000</f>
        <v>0</v>
      </c>
      <c r="K1496" s="19">
        <f>[1]TOBEPAID!K1146/1000</f>
        <v>0</v>
      </c>
      <c r="L1496" s="19">
        <f>[1]TOBEPAID!L1146/1000</f>
        <v>0</v>
      </c>
      <c r="M1496" s="19">
        <f>[1]TOBEPAID!M1146/1000</f>
        <v>0</v>
      </c>
      <c r="N1496" s="19">
        <f>[1]TOBEPAID!N1146/1000</f>
        <v>8000</v>
      </c>
      <c r="O1496" s="19">
        <f>[1]TOBEPAID!O1146/1000</f>
        <v>0</v>
      </c>
      <c r="P1496" s="19">
        <f>[1]TOBEPAID!P1146/1000</f>
        <v>0</v>
      </c>
      <c r="Q1496" s="19">
        <f>[1]TOBEPAID!Q1146/1000</f>
        <v>0</v>
      </c>
      <c r="R1496" s="19">
        <v>0</v>
      </c>
      <c r="S1496" s="19">
        <f>[1]TOBEPAID!S1146/1000</f>
        <v>0</v>
      </c>
      <c r="T1496" s="19">
        <f>[1]TOBEPAID!T1146/1000</f>
        <v>0</v>
      </c>
      <c r="U1496" s="19">
        <f>[1]TOBEPAID!U1146/1000</f>
        <v>0</v>
      </c>
      <c r="V1496" s="19">
        <f>[1]TOBEPAID!V1146/1000</f>
        <v>0</v>
      </c>
      <c r="W1496" s="19">
        <f>[1]TOBEPAID!W1146/1000</f>
        <v>0</v>
      </c>
      <c r="X1496" s="19">
        <f>[1]TOBEPAID!X1146/1000</f>
        <v>0</v>
      </c>
      <c r="Y1496" s="19">
        <f t="shared" ref="Y1496:Y1503" si="281">+H1496+R1496</f>
        <v>8000</v>
      </c>
      <c r="Z1496" s="19">
        <f t="shared" si="280"/>
        <v>0</v>
      </c>
      <c r="AA1496" s="19">
        <f>[1]TOBEPAID!AA1146/1000</f>
        <v>8000</v>
      </c>
      <c r="AB1496" s="19">
        <f>[1]TOBEPAID!AB1146/1000</f>
        <v>0</v>
      </c>
      <c r="AC1496" s="19"/>
      <c r="AD1496" s="19"/>
      <c r="AS1496" s="34">
        <f>+AF1497-AK1497-AP1497</f>
        <v>251419.48579000004</v>
      </c>
    </row>
    <row r="1497" spans="1:45" x14ac:dyDescent="0.2">
      <c r="C1497" s="3" t="s">
        <v>75</v>
      </c>
      <c r="D1497" s="3">
        <f>500000/1000</f>
        <v>500</v>
      </c>
      <c r="H1497" s="3">
        <f>500000/1000</f>
        <v>500</v>
      </c>
      <c r="R1497" s="19">
        <v>0</v>
      </c>
      <c r="Y1497" s="19">
        <f t="shared" si="281"/>
        <v>500</v>
      </c>
      <c r="Z1497" s="19">
        <f t="shared" si="280"/>
        <v>0</v>
      </c>
      <c r="AF1497" s="34">
        <f>D1459+D1472+D1482+D1494</f>
        <v>278048.12749000004</v>
      </c>
      <c r="AG1497" s="34">
        <f>E1459+E1472+E1482+E1494</f>
        <v>15000</v>
      </c>
      <c r="AH1497" s="34">
        <f>F1459+F1472+F1482+F1494</f>
        <v>0</v>
      </c>
      <c r="AI1497" s="34">
        <f>+AG1497+AH1497</f>
        <v>15000</v>
      </c>
      <c r="AJ1497" s="34">
        <f>L1459+L1472+L1482+L1494</f>
        <v>0</v>
      </c>
      <c r="AK1497" s="34">
        <f>+AI1497+AJ1497</f>
        <v>15000</v>
      </c>
      <c r="AL1497" s="34">
        <f>O1459+O1472+O1482+O1494</f>
        <v>10855.731540000001</v>
      </c>
      <c r="AM1497" s="34">
        <f>P1459+P1472+P1482+P1494</f>
        <v>772.91016000000002</v>
      </c>
      <c r="AN1497" s="34">
        <f>+AL1497+AM1497</f>
        <v>11628.6417</v>
      </c>
      <c r="AO1497" s="34">
        <f>V1459+V1472+V1482+V1494</f>
        <v>0</v>
      </c>
      <c r="AP1497" s="34">
        <f>+AN1497+AO1497</f>
        <v>11628.6417</v>
      </c>
      <c r="AQ1497" s="34">
        <f>+AI1497+AN1497</f>
        <v>26628.6417</v>
      </c>
      <c r="AR1497" s="34">
        <f>+AF1497-AQ1497-0.2</f>
        <v>251419.28579000002</v>
      </c>
      <c r="AS1497" s="34">
        <f>+AF1501-AK1501-AP1501</f>
        <v>-1.9099999990430661E-3</v>
      </c>
    </row>
    <row r="1498" spans="1:45" x14ac:dyDescent="0.2">
      <c r="C1498" s="3" t="s">
        <v>161</v>
      </c>
      <c r="D1498" s="3">
        <f>12000000/1000</f>
        <v>12000</v>
      </c>
      <c r="H1498" s="3">
        <f>12000000/1000</f>
        <v>12000</v>
      </c>
      <c r="R1498" s="19">
        <v>0</v>
      </c>
      <c r="Y1498" s="19">
        <f t="shared" si="281"/>
        <v>12000</v>
      </c>
      <c r="Z1498" s="19">
        <f t="shared" si="280"/>
        <v>0</v>
      </c>
      <c r="AF1498" s="34"/>
      <c r="AG1498" s="34"/>
      <c r="AH1498" s="34"/>
      <c r="AI1498" s="34"/>
      <c r="AJ1498" s="34"/>
      <c r="AK1498" s="34"/>
      <c r="AL1498" s="34"/>
      <c r="AM1498" s="34"/>
      <c r="AN1498" s="34"/>
      <c r="AO1498" s="34"/>
      <c r="AP1498" s="34"/>
      <c r="AQ1498" s="34"/>
      <c r="AR1498" s="34"/>
      <c r="AS1498" s="34"/>
    </row>
    <row r="1499" spans="1:45" x14ac:dyDescent="0.2">
      <c r="C1499" s="3" t="s">
        <v>399</v>
      </c>
      <c r="D1499" s="3">
        <f>12000000/1000</f>
        <v>12000</v>
      </c>
      <c r="H1499" s="3">
        <f>12000000/1000</f>
        <v>12000</v>
      </c>
      <c r="R1499" s="19">
        <v>0</v>
      </c>
      <c r="Y1499" s="19">
        <f t="shared" si="281"/>
        <v>12000</v>
      </c>
      <c r="Z1499" s="19">
        <f t="shared" si="280"/>
        <v>0</v>
      </c>
      <c r="AF1499" s="34"/>
      <c r="AG1499" s="34"/>
      <c r="AH1499" s="34"/>
      <c r="AI1499" s="34"/>
      <c r="AJ1499" s="34"/>
      <c r="AK1499" s="34"/>
      <c r="AL1499" s="34"/>
      <c r="AM1499" s="34"/>
      <c r="AN1499" s="34"/>
      <c r="AO1499" s="34"/>
      <c r="AP1499" s="34"/>
      <c r="AQ1499" s="34"/>
      <c r="AR1499" s="34"/>
      <c r="AS1499" s="34"/>
    </row>
    <row r="1500" spans="1:45" x14ac:dyDescent="0.2">
      <c r="C1500" s="3" t="s">
        <v>66</v>
      </c>
      <c r="D1500" s="3">
        <f>25000000/1000</f>
        <v>25000</v>
      </c>
      <c r="H1500" s="3">
        <f>25000000/1000</f>
        <v>25000</v>
      </c>
      <c r="R1500" s="19">
        <v>0</v>
      </c>
      <c r="Y1500" s="19">
        <f t="shared" si="281"/>
        <v>25000</v>
      </c>
      <c r="Z1500" s="19">
        <f t="shared" si="280"/>
        <v>0</v>
      </c>
      <c r="AF1500" s="34"/>
      <c r="AG1500" s="34"/>
      <c r="AH1500" s="34"/>
      <c r="AI1500" s="34"/>
      <c r="AJ1500" s="34"/>
      <c r="AK1500" s="34"/>
      <c r="AL1500" s="34"/>
      <c r="AM1500" s="34"/>
      <c r="AN1500" s="34"/>
      <c r="AO1500" s="34"/>
      <c r="AP1500" s="34"/>
      <c r="AQ1500" s="34"/>
      <c r="AR1500" s="34"/>
      <c r="AS1500" s="34"/>
    </row>
    <row r="1501" spans="1:45" x14ac:dyDescent="0.2">
      <c r="A1501" s="18"/>
      <c r="C1501" s="20" t="s">
        <v>52</v>
      </c>
      <c r="D1501" s="19">
        <f>105081/1000</f>
        <v>105.081</v>
      </c>
      <c r="E1501" s="19">
        <f>[1]TOBEPAID!E1147/1000</f>
        <v>105.0812</v>
      </c>
      <c r="F1501" s="19">
        <f>[1]TOBEPAID!F1147/1000</f>
        <v>0</v>
      </c>
      <c r="G1501" s="19">
        <f>[1]TOBEPAID!G1147/1000</f>
        <v>0</v>
      </c>
      <c r="H1501" s="19">
        <f>105081/1000</f>
        <v>105.081</v>
      </c>
      <c r="I1501" s="19">
        <f>[1]TOBEPAID!I1147/1000</f>
        <v>0</v>
      </c>
      <c r="J1501" s="19">
        <f>[1]TOBEPAID!J1147/1000</f>
        <v>0</v>
      </c>
      <c r="K1501" s="19">
        <f>[1]TOBEPAID!K1147/1000</f>
        <v>0</v>
      </c>
      <c r="L1501" s="19">
        <f>[1]TOBEPAID!L1147/1000</f>
        <v>0</v>
      </c>
      <c r="M1501" s="19">
        <f>[1]TOBEPAID!M1147/1000</f>
        <v>0</v>
      </c>
      <c r="N1501" s="19">
        <f>[1]TOBEPAID!N1147/1000</f>
        <v>105.0812</v>
      </c>
      <c r="O1501" s="19">
        <f>[1]TOBEPAID!O1147/1000</f>
        <v>0</v>
      </c>
      <c r="P1501" s="19">
        <f>[1]TOBEPAID!P1147/1000</f>
        <v>0</v>
      </c>
      <c r="Q1501" s="19">
        <f>[1]TOBEPAID!Q1147/1000</f>
        <v>0</v>
      </c>
      <c r="R1501" s="19">
        <v>0</v>
      </c>
      <c r="S1501" s="19">
        <f>[1]TOBEPAID!S1147/1000</f>
        <v>0</v>
      </c>
      <c r="T1501" s="19">
        <f>[1]TOBEPAID!T1147/1000</f>
        <v>0</v>
      </c>
      <c r="U1501" s="19">
        <f>[1]TOBEPAID!U1147/1000</f>
        <v>0</v>
      </c>
      <c r="V1501" s="19">
        <f>[1]TOBEPAID!V1147/1000</f>
        <v>0</v>
      </c>
      <c r="W1501" s="19">
        <f>[1]TOBEPAID!W1147/1000</f>
        <v>0</v>
      </c>
      <c r="X1501" s="19">
        <f>[1]TOBEPAID!X1147/1000</f>
        <v>0</v>
      </c>
      <c r="Y1501" s="19">
        <f t="shared" si="281"/>
        <v>105.081</v>
      </c>
      <c r="Z1501" s="19">
        <f t="shared" si="280"/>
        <v>0</v>
      </c>
      <c r="AA1501" s="19">
        <f>[1]TOBEPAID!AA1147/1000</f>
        <v>105.0812</v>
      </c>
      <c r="AB1501" s="19">
        <f>[1]TOBEPAID!AB1147/1000</f>
        <v>0</v>
      </c>
      <c r="AC1501" s="19"/>
      <c r="AD1501" s="19"/>
      <c r="AE1501" s="25" t="s">
        <v>85</v>
      </c>
      <c r="AF1501" s="34">
        <f>D1466+D1473+D1486+D1501</f>
        <v>7544.42</v>
      </c>
      <c r="AG1501" s="34">
        <f>E1466+E1473+E1486+E1501</f>
        <v>7544.4219099999991</v>
      </c>
      <c r="AH1501" s="34">
        <f>F1461+F1473+F1486+F1501</f>
        <v>0</v>
      </c>
      <c r="AI1501" s="34">
        <f t="shared" ref="AI1501:AI1506" si="282">+AG1501+AH1501</f>
        <v>7544.4219099999991</v>
      </c>
      <c r="AJ1501" s="34">
        <f>L1461+L1473+L1486+L1501</f>
        <v>0</v>
      </c>
      <c r="AK1501" s="34">
        <f t="shared" ref="AK1501:AK1506" si="283">+AI1501+AJ1501</f>
        <v>7544.4219099999991</v>
      </c>
      <c r="AL1501" s="34">
        <f>O1461+O1473+O1486+O1501</f>
        <v>0</v>
      </c>
      <c r="AM1501" s="34">
        <f>P1461+P1473+P1486+P1501</f>
        <v>0</v>
      </c>
      <c r="AN1501" s="34">
        <f t="shared" ref="AN1501:AN1506" si="284">+AL1501+AM1501</f>
        <v>0</v>
      </c>
      <c r="AO1501" s="34">
        <f>V1461+V1473+V1486+V1501</f>
        <v>0</v>
      </c>
      <c r="AP1501" s="34">
        <f>+AN1501+AO1501</f>
        <v>0</v>
      </c>
      <c r="AQ1501" s="34">
        <f t="shared" ref="AQ1501:AQ1506" si="285">+AI1501+AN1501</f>
        <v>7544.4219099999991</v>
      </c>
      <c r="AR1501" s="34">
        <f t="shared" ref="AR1501:AR1506" si="286">+AF1501-AQ1501</f>
        <v>-1.9099999990430661E-3</v>
      </c>
      <c r="AS1501" s="34">
        <f>+R1461</f>
        <v>0</v>
      </c>
    </row>
    <row r="1502" spans="1:45" x14ac:dyDescent="0.2">
      <c r="A1502" s="18"/>
      <c r="C1502" s="20" t="s">
        <v>96</v>
      </c>
      <c r="D1502" s="19">
        <f>4673005/1000</f>
        <v>4673.0050000000001</v>
      </c>
      <c r="E1502" s="19">
        <f>[1]TOBEPAID!E1148/1000</f>
        <v>0</v>
      </c>
      <c r="F1502" s="19">
        <f>[1]TOBEPAID!F1148/1000</f>
        <v>0</v>
      </c>
      <c r="G1502" s="19">
        <f>[1]TOBEPAID!G1148/1000</f>
        <v>0</v>
      </c>
      <c r="H1502" s="19">
        <v>0</v>
      </c>
      <c r="I1502" s="19">
        <f>[1]TOBEPAID!I1148/1000</f>
        <v>0</v>
      </c>
      <c r="J1502" s="19">
        <f>[1]TOBEPAID!J1148/1000</f>
        <v>0</v>
      </c>
      <c r="K1502" s="19">
        <f>[1]TOBEPAID!K1148/1000</f>
        <v>0</v>
      </c>
      <c r="L1502" s="19">
        <f>[1]TOBEPAID!L1148/1000</f>
        <v>0</v>
      </c>
      <c r="M1502" s="19">
        <f>[1]TOBEPAID!M1148/1000</f>
        <v>0</v>
      </c>
      <c r="N1502" s="19">
        <f>[1]TOBEPAID!N1148/1000</f>
        <v>0</v>
      </c>
      <c r="O1502" s="19">
        <f>[1]TOBEPAID!O1148/1000</f>
        <v>4673.00551</v>
      </c>
      <c r="P1502" s="19">
        <f>[1]TOBEPAID!P1148/1000</f>
        <v>0</v>
      </c>
      <c r="Q1502" s="19">
        <f>[1]TOBEPAID!Q1148/1000</f>
        <v>0</v>
      </c>
      <c r="R1502" s="19">
        <f>4673005/1000</f>
        <v>4673.0050000000001</v>
      </c>
      <c r="S1502" s="19">
        <f>[1]TOBEPAID!S1148/1000</f>
        <v>0</v>
      </c>
      <c r="T1502" s="19">
        <f>[1]TOBEPAID!T1148/1000</f>
        <v>0</v>
      </c>
      <c r="U1502" s="19">
        <f>[1]TOBEPAID!U1148/1000</f>
        <v>0</v>
      </c>
      <c r="V1502" s="19">
        <f>[1]TOBEPAID!V1148/1000</f>
        <v>0</v>
      </c>
      <c r="W1502" s="19">
        <f>[1]TOBEPAID!W1148/1000</f>
        <v>0</v>
      </c>
      <c r="X1502" s="19">
        <f>[1]TOBEPAID!X1148/1000</f>
        <v>4673.00551</v>
      </c>
      <c r="Y1502" s="19">
        <f t="shared" si="281"/>
        <v>4673.0050000000001</v>
      </c>
      <c r="Z1502" s="19">
        <f t="shared" si="280"/>
        <v>0</v>
      </c>
      <c r="AA1502" s="19">
        <f>[1]TOBEPAID!AA1148/1000</f>
        <v>4673.00551</v>
      </c>
      <c r="AB1502" s="19">
        <f>[1]TOBEPAID!AB1148/1000</f>
        <v>0</v>
      </c>
      <c r="AC1502" s="19"/>
      <c r="AD1502" s="19"/>
      <c r="AE1502" s="25" t="s">
        <v>52</v>
      </c>
      <c r="AF1502" s="34">
        <f>+D1461</f>
        <v>1000</v>
      </c>
      <c r="AG1502" s="34">
        <f>+E1461</f>
        <v>1000</v>
      </c>
      <c r="AH1502" s="34">
        <f>+F1461</f>
        <v>0</v>
      </c>
      <c r="AI1502" s="34">
        <f>+AG1502</f>
        <v>1000</v>
      </c>
      <c r="AJ1502" s="34">
        <f>+L1461</f>
        <v>0</v>
      </c>
      <c r="AK1502" s="34">
        <f>+AI1502</f>
        <v>1000</v>
      </c>
      <c r="AL1502" s="34">
        <f>+O1461</f>
        <v>0</v>
      </c>
      <c r="AM1502" s="34">
        <f>+P1461</f>
        <v>0</v>
      </c>
      <c r="AN1502" s="34">
        <f>+AL1459</f>
        <v>0</v>
      </c>
      <c r="AO1502" s="34">
        <f>+V1461</f>
        <v>0</v>
      </c>
      <c r="AP1502" s="34">
        <f>+AN1502</f>
        <v>0</v>
      </c>
      <c r="AQ1502" s="34">
        <f t="shared" si="285"/>
        <v>1000</v>
      </c>
      <c r="AR1502" s="34">
        <f t="shared" si="286"/>
        <v>0</v>
      </c>
      <c r="AS1502" s="34">
        <f>+AF1503-AK1503-AP1503</f>
        <v>70806.716</v>
      </c>
    </row>
    <row r="1503" spans="1:45" x14ac:dyDescent="0.2">
      <c r="A1503" s="18"/>
      <c r="C1503" s="20" t="s">
        <v>97</v>
      </c>
      <c r="D1503" s="19">
        <f>5603896/1000</f>
        <v>5603.8959999999997</v>
      </c>
      <c r="E1503" s="19">
        <f>[1]TOBEPAID!E1149/1000</f>
        <v>0</v>
      </c>
      <c r="F1503" s="19">
        <f>[1]TOBEPAID!F1149/1000</f>
        <v>0</v>
      </c>
      <c r="G1503" s="19">
        <f>[1]TOBEPAID!G1149/1000</f>
        <v>0</v>
      </c>
      <c r="H1503" s="19">
        <v>0</v>
      </c>
      <c r="I1503" s="19">
        <f>[1]TOBEPAID!I1149/1000</f>
        <v>0</v>
      </c>
      <c r="J1503" s="19">
        <f>[1]TOBEPAID!J1149/1000</f>
        <v>0</v>
      </c>
      <c r="K1503" s="19">
        <f>[1]TOBEPAID!K1149/1000</f>
        <v>0</v>
      </c>
      <c r="L1503" s="19">
        <f>[1]TOBEPAID!L1149/1000</f>
        <v>0</v>
      </c>
      <c r="M1503" s="19">
        <f>[1]TOBEPAID!M1149/1000</f>
        <v>0</v>
      </c>
      <c r="N1503" s="19">
        <f>[1]TOBEPAID!N1149/1000</f>
        <v>0</v>
      </c>
      <c r="O1503" s="19">
        <f>[1]TOBEPAID!O1149/1000</f>
        <v>5603.8962599999995</v>
      </c>
      <c r="P1503" s="19">
        <f>[1]TOBEPAID!P1149/1000</f>
        <v>0</v>
      </c>
      <c r="Q1503" s="19">
        <f>[1]TOBEPAID!Q1149/1000</f>
        <v>0</v>
      </c>
      <c r="R1503" s="19">
        <f>5603896/1000</f>
        <v>5603.8959999999997</v>
      </c>
      <c r="S1503" s="19">
        <f>[1]TOBEPAID!S1149/1000</f>
        <v>0</v>
      </c>
      <c r="T1503" s="19">
        <f>[1]TOBEPAID!T1149/1000</f>
        <v>0</v>
      </c>
      <c r="U1503" s="19">
        <f>[1]TOBEPAID!U1149/1000</f>
        <v>0</v>
      </c>
      <c r="V1503" s="19">
        <f>[1]TOBEPAID!V1149/1000</f>
        <v>0</v>
      </c>
      <c r="W1503" s="19">
        <f>[1]TOBEPAID!W1149/1000</f>
        <v>0</v>
      </c>
      <c r="X1503" s="19">
        <f>[1]TOBEPAID!X1149/1000</f>
        <v>5603.8962599999995</v>
      </c>
      <c r="Y1503" s="19">
        <f t="shared" si="281"/>
        <v>5603.8959999999997</v>
      </c>
      <c r="Z1503" s="19">
        <f t="shared" si="280"/>
        <v>0</v>
      </c>
      <c r="AA1503" s="19">
        <f>[1]TOBEPAID!AA1149/1000</f>
        <v>5603.8962599999995</v>
      </c>
      <c r="AB1503" s="19">
        <f>[1]TOBEPAID!AB1149/1000</f>
        <v>0</v>
      </c>
      <c r="AC1503" s="19"/>
      <c r="AD1503" s="19"/>
      <c r="AE1503" s="25" t="s">
        <v>394</v>
      </c>
      <c r="AF1503" s="34">
        <f>D1467+D1476+D1488</f>
        <v>70806.716</v>
      </c>
      <c r="AG1503" s="34">
        <f>E1467+E1476+E1488</f>
        <v>0</v>
      </c>
      <c r="AH1503" s="34">
        <f>F1467+F1476+F1488</f>
        <v>0</v>
      </c>
      <c r="AI1503" s="34">
        <f t="shared" si="282"/>
        <v>0</v>
      </c>
      <c r="AJ1503" s="34">
        <f>H1467+H1476+H1488</f>
        <v>0</v>
      </c>
      <c r="AK1503" s="34">
        <f t="shared" si="283"/>
        <v>0</v>
      </c>
      <c r="AL1503" s="34">
        <f>O1467+O1476+O1488</f>
        <v>0</v>
      </c>
      <c r="AM1503" s="34">
        <f>P1467+P1476+P1488</f>
        <v>0</v>
      </c>
      <c r="AN1503" s="34">
        <f t="shared" si="284"/>
        <v>0</v>
      </c>
      <c r="AO1503" s="34">
        <f>V1467+V1476+V1488</f>
        <v>0</v>
      </c>
      <c r="AP1503" s="34">
        <f>+AN1503+AO1503</f>
        <v>0</v>
      </c>
      <c r="AQ1503" s="34">
        <f t="shared" si="285"/>
        <v>0</v>
      </c>
      <c r="AR1503" s="34">
        <f t="shared" si="286"/>
        <v>70806.716</v>
      </c>
      <c r="AS1503" s="34">
        <f>+AF1504-AK1504-AP1504</f>
        <v>31808.567220000001</v>
      </c>
    </row>
    <row r="1504" spans="1:45" x14ac:dyDescent="0.2">
      <c r="A1504" s="18"/>
      <c r="D1504" s="21" t="s">
        <v>57</v>
      </c>
      <c r="E1504" s="21" t="s">
        <v>57</v>
      </c>
      <c r="F1504" s="21" t="s">
        <v>57</v>
      </c>
      <c r="G1504" s="21"/>
      <c r="H1504" s="21" t="s">
        <v>57</v>
      </c>
      <c r="I1504" s="21" t="s">
        <v>57</v>
      </c>
      <c r="J1504" s="21" t="s">
        <v>57</v>
      </c>
      <c r="K1504" s="21" t="s">
        <v>57</v>
      </c>
      <c r="L1504" s="21" t="s">
        <v>57</v>
      </c>
      <c r="M1504" s="21"/>
      <c r="N1504" s="21" t="s">
        <v>57</v>
      </c>
      <c r="O1504" s="21" t="s">
        <v>57</v>
      </c>
      <c r="P1504" s="21" t="s">
        <v>57</v>
      </c>
      <c r="Q1504" s="21"/>
      <c r="R1504" s="21" t="s">
        <v>57</v>
      </c>
      <c r="S1504" s="21" t="s">
        <v>57</v>
      </c>
      <c r="T1504" s="21" t="s">
        <v>57</v>
      </c>
      <c r="U1504" s="21" t="s">
        <v>57</v>
      </c>
      <c r="V1504" s="21" t="s">
        <v>57</v>
      </c>
      <c r="W1504" s="21"/>
      <c r="X1504" s="21" t="s">
        <v>57</v>
      </c>
      <c r="Y1504" s="21" t="s">
        <v>57</v>
      </c>
      <c r="Z1504" s="21" t="s">
        <v>57</v>
      </c>
      <c r="AA1504" s="21" t="s">
        <v>57</v>
      </c>
      <c r="AB1504" s="21" t="s">
        <v>57</v>
      </c>
      <c r="AC1504" s="21"/>
      <c r="AD1504" s="21"/>
      <c r="AE1504" s="25" t="s">
        <v>87</v>
      </c>
      <c r="AF1504" s="34">
        <f>D1477+D1489</f>
        <v>31820.955000000002</v>
      </c>
      <c r="AG1504" s="34">
        <f>E1477+E1489</f>
        <v>0</v>
      </c>
      <c r="AH1504" s="34">
        <f>F1477+F1489</f>
        <v>0</v>
      </c>
      <c r="AI1504" s="34">
        <f t="shared" si="282"/>
        <v>0</v>
      </c>
      <c r="AJ1504" s="34">
        <f>H1477+H1489</f>
        <v>0</v>
      </c>
      <c r="AK1504" s="34">
        <f t="shared" si="283"/>
        <v>0</v>
      </c>
      <c r="AL1504" s="34">
        <f>O1477+O1489</f>
        <v>12.387780000000001</v>
      </c>
      <c r="AM1504" s="34">
        <f>P1477+P1489</f>
        <v>0</v>
      </c>
      <c r="AN1504" s="34">
        <f t="shared" si="284"/>
        <v>12.387780000000001</v>
      </c>
      <c r="AO1504" s="34">
        <f>V1477+V1489</f>
        <v>0</v>
      </c>
      <c r="AP1504" s="34">
        <f>+AN1504+AO1504</f>
        <v>12.387780000000001</v>
      </c>
      <c r="AQ1504" s="34">
        <f t="shared" si="285"/>
        <v>12.387780000000001</v>
      </c>
      <c r="AR1504" s="34">
        <f t="shared" si="286"/>
        <v>31808.567220000001</v>
      </c>
      <c r="AS1504" s="34">
        <f>+AF1505-AK1505-AP1505</f>
        <v>-5.0999999984924216E-4</v>
      </c>
    </row>
    <row r="1505" spans="1:45" x14ac:dyDescent="0.2">
      <c r="A1505" s="18"/>
      <c r="D1505" s="19">
        <f>SUM(D1494:D1503)</f>
        <v>267692.27500000002</v>
      </c>
      <c r="E1505" s="19">
        <f>SUM(E1494:E1503)</f>
        <v>8105.0811999999996</v>
      </c>
      <c r="F1505" s="19">
        <f>SUM(F1494:F1503)</f>
        <v>0</v>
      </c>
      <c r="G1505" s="19"/>
      <c r="H1505" s="19">
        <f>SUM(H1494:H1503)</f>
        <v>57605.080999999998</v>
      </c>
      <c r="I1505" s="19">
        <f>SUM(I1494:I1503)</f>
        <v>0</v>
      </c>
      <c r="J1505" s="19">
        <f>SUM(J1494:J1503)</f>
        <v>0</v>
      </c>
      <c r="K1505" s="19">
        <f>SUM(K1494:K1503)</f>
        <v>0</v>
      </c>
      <c r="L1505" s="19">
        <f>SUM(L1494:L1503)</f>
        <v>0</v>
      </c>
      <c r="M1505" s="19"/>
      <c r="N1505" s="19">
        <f>SUM(N1494:N1503)</f>
        <v>8105.0811999999996</v>
      </c>
      <c r="O1505" s="19">
        <f>SUM(O1494:O1503)</f>
        <v>10276.90177</v>
      </c>
      <c r="P1505" s="19">
        <f>SUM(P1494:P1503)</f>
        <v>0</v>
      </c>
      <c r="Q1505" s="19"/>
      <c r="R1505" s="19">
        <f>SUM(R1494:R1503)</f>
        <v>10890.375</v>
      </c>
      <c r="S1505" s="19">
        <f>SUM(S1494:S1503)</f>
        <v>0</v>
      </c>
      <c r="T1505" s="19">
        <f>SUM(T1494:T1503)</f>
        <v>0</v>
      </c>
      <c r="U1505" s="19">
        <f>SUM(U1494:U1503)</f>
        <v>0</v>
      </c>
      <c r="V1505" s="19">
        <f>SUM(V1494:V1503)</f>
        <v>0</v>
      </c>
      <c r="W1505" s="19"/>
      <c r="X1505" s="19">
        <f>SUM(X1494:X1503)</f>
        <v>10276.90177</v>
      </c>
      <c r="Y1505" s="19">
        <f>SUM(Y1494:Y1503)</f>
        <v>68495.455999999991</v>
      </c>
      <c r="Z1505" s="19">
        <f>SUM(Z1494:Z1503)</f>
        <v>199196.81899999999</v>
      </c>
      <c r="AA1505" s="19">
        <f>SUM(AA1494:AA1503)</f>
        <v>18381.982969999997</v>
      </c>
      <c r="AB1505" s="19">
        <f>SUM(AB1494:AB1503)</f>
        <v>13050.293369999999</v>
      </c>
      <c r="AC1505" s="19"/>
      <c r="AD1505" s="19"/>
      <c r="AE1505" s="25" t="s">
        <v>88</v>
      </c>
      <c r="AF1505" s="34">
        <f t="shared" ref="AF1505:AH1506" si="287">+D1502</f>
        <v>4673.0050000000001</v>
      </c>
      <c r="AG1505" s="34">
        <f t="shared" si="287"/>
        <v>0</v>
      </c>
      <c r="AH1505" s="34">
        <f t="shared" si="287"/>
        <v>0</v>
      </c>
      <c r="AI1505" s="34">
        <f t="shared" si="282"/>
        <v>0</v>
      </c>
      <c r="AJ1505" s="34">
        <f>+H1502</f>
        <v>0</v>
      </c>
      <c r="AK1505" s="34">
        <f t="shared" si="283"/>
        <v>0</v>
      </c>
      <c r="AL1505" s="34">
        <f>+O1502</f>
        <v>4673.00551</v>
      </c>
      <c r="AM1505" s="34">
        <f>+P1502</f>
        <v>0</v>
      </c>
      <c r="AN1505" s="34">
        <f t="shared" si="284"/>
        <v>4673.00551</v>
      </c>
      <c r="AO1505" s="34">
        <f>+V1502</f>
        <v>0</v>
      </c>
      <c r="AP1505" s="34">
        <f>+AN1505+AO1505</f>
        <v>4673.00551</v>
      </c>
      <c r="AQ1505" s="34">
        <f t="shared" si="285"/>
        <v>4673.00551</v>
      </c>
      <c r="AR1505" s="34">
        <f t="shared" si="286"/>
        <v>-5.0999999984924216E-4</v>
      </c>
      <c r="AS1505" s="34">
        <f>+AF1506-AK1506-AP1506</f>
        <v>-2.5999999979831045E-4</v>
      </c>
    </row>
    <row r="1506" spans="1:45" x14ac:dyDescent="0.2">
      <c r="A1506" s="18"/>
      <c r="D1506" s="21" t="s">
        <v>57</v>
      </c>
      <c r="E1506" s="21" t="s">
        <v>57</v>
      </c>
      <c r="F1506" s="21" t="s">
        <v>57</v>
      </c>
      <c r="G1506" s="21"/>
      <c r="H1506" s="21" t="s">
        <v>57</v>
      </c>
      <c r="I1506" s="21" t="s">
        <v>57</v>
      </c>
      <c r="J1506" s="21" t="s">
        <v>57</v>
      </c>
      <c r="K1506" s="21" t="s">
        <v>57</v>
      </c>
      <c r="L1506" s="21" t="s">
        <v>57</v>
      </c>
      <c r="M1506" s="21"/>
      <c r="N1506" s="21" t="s">
        <v>57</v>
      </c>
      <c r="O1506" s="21" t="s">
        <v>57</v>
      </c>
      <c r="P1506" s="21" t="s">
        <v>57</v>
      </c>
      <c r="Q1506" s="21"/>
      <c r="R1506" s="21" t="s">
        <v>57</v>
      </c>
      <c r="S1506" s="21" t="s">
        <v>57</v>
      </c>
      <c r="T1506" s="21" t="s">
        <v>57</v>
      </c>
      <c r="U1506" s="21" t="s">
        <v>57</v>
      </c>
      <c r="V1506" s="21" t="s">
        <v>57</v>
      </c>
      <c r="W1506" s="21"/>
      <c r="X1506" s="21" t="s">
        <v>57</v>
      </c>
      <c r="Y1506" s="21" t="s">
        <v>57</v>
      </c>
      <c r="Z1506" s="21" t="s">
        <v>57</v>
      </c>
      <c r="AA1506" s="21" t="s">
        <v>57</v>
      </c>
      <c r="AB1506" s="21" t="s">
        <v>57</v>
      </c>
      <c r="AC1506" s="21"/>
      <c r="AD1506" s="21"/>
      <c r="AE1506" s="25" t="s">
        <v>96</v>
      </c>
      <c r="AF1506" s="34">
        <f t="shared" si="287"/>
        <v>5603.8959999999997</v>
      </c>
      <c r="AG1506" s="34">
        <f t="shared" si="287"/>
        <v>0</v>
      </c>
      <c r="AH1506" s="34">
        <f t="shared" si="287"/>
        <v>0</v>
      </c>
      <c r="AI1506" s="34">
        <f t="shared" si="282"/>
        <v>0</v>
      </c>
      <c r="AJ1506" s="34">
        <f>+H1503</f>
        <v>0</v>
      </c>
      <c r="AK1506" s="34">
        <f t="shared" si="283"/>
        <v>0</v>
      </c>
      <c r="AL1506" s="34">
        <f>+O1503</f>
        <v>5603.8962599999995</v>
      </c>
      <c r="AM1506" s="34">
        <f>+P1503</f>
        <v>0</v>
      </c>
      <c r="AN1506" s="34">
        <f t="shared" si="284"/>
        <v>5603.8962599999995</v>
      </c>
      <c r="AO1506" s="34">
        <f>+V1503</f>
        <v>0</v>
      </c>
      <c r="AP1506" s="34">
        <f>+AN1506+AO1506</f>
        <v>5603.8962599999995</v>
      </c>
      <c r="AQ1506" s="34">
        <f t="shared" si="285"/>
        <v>5603.8962599999995</v>
      </c>
      <c r="AR1506" s="34">
        <f t="shared" si="286"/>
        <v>-2.5999999979831045E-4</v>
      </c>
      <c r="AS1506" s="34">
        <f>SUM(AS1491:AS1505)</f>
        <v>360034.76633000007</v>
      </c>
    </row>
    <row r="1507" spans="1:45" x14ac:dyDescent="0.2">
      <c r="A1507" s="18"/>
      <c r="B1507" s="8" t="s">
        <v>29</v>
      </c>
      <c r="C1507" s="17" t="s">
        <v>392</v>
      </c>
      <c r="D1507" s="19">
        <f>D1469+D1479+D1491+D1505</f>
        <v>1018206.8374899999</v>
      </c>
      <c r="E1507" s="19">
        <f>E1469+E1479+E1491+E1505</f>
        <v>45416.287909999999</v>
      </c>
      <c r="F1507" s="19">
        <f>F1469+F1479+F1491+F1505</f>
        <v>0</v>
      </c>
      <c r="G1507" s="19"/>
      <c r="H1507" s="19">
        <f>H1469+H1479+H1491+H1505</f>
        <v>347735.54365999997</v>
      </c>
      <c r="I1507" s="19">
        <f>I1469+I1479+I1491+I1505</f>
        <v>0</v>
      </c>
      <c r="J1507" s="19">
        <f>J1469+J1479+J1491+J1505</f>
        <v>0</v>
      </c>
      <c r="K1507" s="19">
        <f>K1469+K1479+K1491+K1505</f>
        <v>0</v>
      </c>
      <c r="L1507" s="19">
        <f>L1469+L1479+L1491+L1505</f>
        <v>0</v>
      </c>
      <c r="M1507" s="19"/>
      <c r="N1507" s="19">
        <f>N1469+N1479+N1491+N1505</f>
        <v>45416.287909999999</v>
      </c>
      <c r="O1507" s="19">
        <f>O1469+O1479+O1491+O1505</f>
        <v>21145.021090000002</v>
      </c>
      <c r="P1507" s="19">
        <f>P1469+P1479+P1491+P1505</f>
        <v>772.91016000000002</v>
      </c>
      <c r="Q1507" s="19"/>
      <c r="R1507" s="19">
        <f>R1469+R1479+R1491+R1505</f>
        <v>23079.237000000001</v>
      </c>
      <c r="S1507" s="19">
        <f>S1469+S1479+S1491+S1505</f>
        <v>6180.3030399999998</v>
      </c>
      <c r="T1507" s="19">
        <f>T1469+T1479+T1491+T1505</f>
        <v>4554.1438399999997</v>
      </c>
      <c r="U1507" s="19">
        <f>U1469+U1479+U1491+U1505</f>
        <v>0</v>
      </c>
      <c r="V1507" s="19">
        <f>V1469+V1479+V1491+V1505</f>
        <v>0</v>
      </c>
      <c r="W1507" s="19"/>
      <c r="X1507" s="19">
        <f>X1469+X1479+X1491+X1505</f>
        <v>21917.931250000001</v>
      </c>
      <c r="Y1507" s="19">
        <f>Y1469+Y1479+Y1491+Y1505</f>
        <v>370814.78065999993</v>
      </c>
      <c r="Z1507" s="19">
        <f>Z1469+Z1479+Z1491+Z1505</f>
        <v>647392.65682999999</v>
      </c>
      <c r="AA1507" s="19">
        <f>AA1469+AA1479+AA1491+AA1505</f>
        <v>67334.219159999993</v>
      </c>
      <c r="AB1507" s="19">
        <f>AB1469+AB1479+AB1491+AB1505</f>
        <v>368252.12405999994</v>
      </c>
      <c r="AC1507" s="19"/>
      <c r="AD1507" s="19"/>
      <c r="AE1507" s="25" t="s">
        <v>97</v>
      </c>
      <c r="AF1507" s="34">
        <f t="shared" ref="AF1507:AR1507" si="288">SUM(AF1492:AF1506)</f>
        <v>427368.98549000005</v>
      </c>
      <c r="AG1507" s="34">
        <f t="shared" si="288"/>
        <v>45416.287909999999</v>
      </c>
      <c r="AH1507" s="34">
        <f t="shared" si="288"/>
        <v>0</v>
      </c>
      <c r="AI1507" s="34">
        <f t="shared" si="288"/>
        <v>45416.287909999999</v>
      </c>
      <c r="AJ1507" s="34">
        <f t="shared" si="288"/>
        <v>0</v>
      </c>
      <c r="AK1507" s="34">
        <f t="shared" si="288"/>
        <v>45416.287909999999</v>
      </c>
      <c r="AL1507" s="34">
        <f t="shared" si="288"/>
        <v>21145.021090000002</v>
      </c>
      <c r="AM1507" s="34">
        <f t="shared" si="288"/>
        <v>772.91016000000002</v>
      </c>
      <c r="AN1507" s="34">
        <f t="shared" si="288"/>
        <v>21917.931250000001</v>
      </c>
      <c r="AO1507" s="34">
        <f t="shared" si="288"/>
        <v>0</v>
      </c>
      <c r="AP1507" s="34">
        <f t="shared" si="288"/>
        <v>21917.931250000001</v>
      </c>
      <c r="AQ1507" s="34">
        <f t="shared" si="288"/>
        <v>67334.219159999993</v>
      </c>
      <c r="AR1507" s="34">
        <f t="shared" si="288"/>
        <v>360034.56633000006</v>
      </c>
      <c r="AS1507" s="34"/>
    </row>
    <row r="1508" spans="1:45" x14ac:dyDescent="0.2">
      <c r="A1508" s="18"/>
      <c r="D1508" s="21" t="s">
        <v>93</v>
      </c>
      <c r="E1508" s="21" t="s">
        <v>93</v>
      </c>
      <c r="F1508" s="21" t="s">
        <v>93</v>
      </c>
      <c r="G1508" s="21"/>
      <c r="H1508" s="21" t="s">
        <v>93</v>
      </c>
      <c r="I1508" s="21" t="s">
        <v>93</v>
      </c>
      <c r="J1508" s="21" t="s">
        <v>93</v>
      </c>
      <c r="K1508" s="21" t="s">
        <v>93</v>
      </c>
      <c r="L1508" s="21" t="s">
        <v>93</v>
      </c>
      <c r="M1508" s="21"/>
      <c r="N1508" s="21" t="s">
        <v>93</v>
      </c>
      <c r="O1508" s="21" t="s">
        <v>93</v>
      </c>
      <c r="P1508" s="21" t="s">
        <v>93</v>
      </c>
      <c r="Q1508" s="21"/>
      <c r="R1508" s="21" t="s">
        <v>93</v>
      </c>
      <c r="S1508" s="21" t="s">
        <v>93</v>
      </c>
      <c r="T1508" s="21" t="s">
        <v>93</v>
      </c>
      <c r="U1508" s="21" t="s">
        <v>93</v>
      </c>
      <c r="V1508" s="21" t="s">
        <v>93</v>
      </c>
      <c r="W1508" s="21"/>
      <c r="X1508" s="21" t="s">
        <v>93</v>
      </c>
      <c r="Y1508" s="21" t="s">
        <v>93</v>
      </c>
      <c r="Z1508" s="21" t="s">
        <v>93</v>
      </c>
      <c r="AA1508" s="21" t="s">
        <v>93</v>
      </c>
      <c r="AB1508" s="21" t="s">
        <v>93</v>
      </c>
      <c r="AC1508" s="21"/>
      <c r="AD1508" s="21"/>
      <c r="AF1508" s="34"/>
      <c r="AG1508" s="34"/>
      <c r="AH1508" s="34"/>
      <c r="AI1508" s="34"/>
      <c r="AJ1508" s="34"/>
      <c r="AK1508" s="34"/>
      <c r="AL1508" s="34"/>
      <c r="AM1508" s="34"/>
      <c r="AN1508" s="34"/>
      <c r="AO1508" s="34"/>
      <c r="AP1508" s="34"/>
      <c r="AQ1508" s="34"/>
      <c r="AR1508" s="34"/>
      <c r="AS1508" s="34" t="e">
        <f>AS93+AS160+AS263+AS451+AS614+AS750+AS881+AS982+AS1099+AS1159+AS1268+AS1351+AS1413+AS1452+AS1506</f>
        <v>#REF!</v>
      </c>
    </row>
    <row r="1509" spans="1:45" x14ac:dyDescent="0.2">
      <c r="A1509" s="18"/>
      <c r="D1509" s="21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  <c r="R1509" s="4" t="s">
        <v>400</v>
      </c>
      <c r="S1509" s="77"/>
      <c r="T1509" s="21"/>
      <c r="U1509" s="21"/>
      <c r="V1509" s="21"/>
      <c r="W1509" s="21"/>
      <c r="X1509" s="21"/>
      <c r="Y1509" s="21"/>
      <c r="Z1509" s="21"/>
      <c r="AA1509" s="21"/>
      <c r="AB1509" s="21"/>
      <c r="AC1509" s="21"/>
      <c r="AD1509" s="21"/>
      <c r="AF1509" s="34"/>
      <c r="AG1509" s="34"/>
      <c r="AH1509" s="34"/>
      <c r="AI1509" s="34"/>
      <c r="AJ1509" s="34"/>
      <c r="AK1509" s="34"/>
      <c r="AL1509" s="34"/>
      <c r="AM1509" s="34"/>
      <c r="AN1509" s="34"/>
      <c r="AO1509" s="34"/>
      <c r="AP1509" s="34"/>
      <c r="AQ1509" s="34"/>
      <c r="AR1509" s="34"/>
      <c r="AS1509" s="34"/>
    </row>
    <row r="1510" spans="1:45" ht="15.75" thickBot="1" x14ac:dyDescent="0.25">
      <c r="A1510" s="18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72" t="s">
        <v>401</v>
      </c>
      <c r="S1510" s="72"/>
      <c r="T1510" s="21"/>
      <c r="U1510" s="21"/>
      <c r="V1510" s="21"/>
      <c r="W1510" s="21"/>
      <c r="X1510" s="21"/>
      <c r="Y1510" s="48"/>
      <c r="Z1510" s="48"/>
      <c r="AA1510" s="21"/>
      <c r="AB1510" s="21"/>
      <c r="AC1510" s="21"/>
      <c r="AD1510" s="21"/>
      <c r="AF1510" s="34"/>
      <c r="AG1510" s="34"/>
      <c r="AH1510" s="34"/>
      <c r="AI1510" s="34"/>
      <c r="AJ1510" s="34"/>
      <c r="AK1510" s="34"/>
      <c r="AL1510" s="34"/>
      <c r="AM1510" s="34"/>
      <c r="AN1510" s="34"/>
      <c r="AO1510" s="34"/>
      <c r="AP1510" s="34"/>
      <c r="AQ1510" s="34"/>
      <c r="AR1510" s="34"/>
      <c r="AS1510" s="34"/>
    </row>
    <row r="1511" spans="1:45" ht="15.75" thickTop="1" x14ac:dyDescent="0.2">
      <c r="A1511" s="18"/>
      <c r="D1511" s="21"/>
      <c r="E1511" s="21"/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  <c r="Q1511" s="21"/>
      <c r="R1511" s="71"/>
      <c r="S1511" s="71"/>
      <c r="T1511" s="21"/>
      <c r="U1511" s="21"/>
      <c r="V1511" s="21"/>
      <c r="W1511" s="21"/>
      <c r="X1511" s="21"/>
      <c r="Y1511" s="21"/>
      <c r="Z1511" s="21"/>
      <c r="AA1511" s="21"/>
      <c r="AB1511" s="21"/>
      <c r="AC1511" s="21"/>
      <c r="AD1511" s="21"/>
      <c r="AF1511" s="34"/>
      <c r="AG1511" s="34"/>
      <c r="AH1511" s="34"/>
      <c r="AI1511" s="34"/>
      <c r="AJ1511" s="34"/>
      <c r="AK1511" s="34"/>
      <c r="AL1511" s="34"/>
      <c r="AM1511" s="34"/>
      <c r="AN1511" s="34"/>
      <c r="AO1511" s="34"/>
      <c r="AP1511" s="34"/>
      <c r="AQ1511" s="34"/>
      <c r="AR1511" s="34"/>
      <c r="AS1511" s="34"/>
    </row>
    <row r="1512" spans="1:45" x14ac:dyDescent="0.2">
      <c r="A1512" s="18"/>
      <c r="D1512" s="21"/>
      <c r="E1512" s="21"/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  <c r="R1512" s="71"/>
      <c r="S1512" s="71"/>
      <c r="T1512" s="21"/>
      <c r="U1512" s="21"/>
      <c r="V1512" s="21"/>
      <c r="W1512" s="21"/>
      <c r="X1512" s="21"/>
      <c r="Y1512" s="21"/>
      <c r="Z1512" s="21"/>
      <c r="AA1512" s="21"/>
      <c r="AB1512" s="21"/>
      <c r="AC1512" s="21"/>
      <c r="AD1512" s="21"/>
      <c r="AF1512" s="34"/>
      <c r="AG1512" s="34"/>
      <c r="AH1512" s="34"/>
      <c r="AI1512" s="34"/>
      <c r="AJ1512" s="34"/>
      <c r="AK1512" s="34"/>
      <c r="AL1512" s="34"/>
      <c r="AM1512" s="34"/>
      <c r="AN1512" s="34"/>
      <c r="AO1512" s="34"/>
      <c r="AP1512" s="34"/>
      <c r="AQ1512" s="34"/>
      <c r="AR1512" s="34"/>
      <c r="AS1512" s="34"/>
    </row>
    <row r="1513" spans="1:45" x14ac:dyDescent="0.2">
      <c r="A1513" s="18"/>
      <c r="D1513" s="30"/>
      <c r="E1513" s="30"/>
      <c r="F1513" s="30"/>
      <c r="G1513" s="30"/>
      <c r="H1513" s="30"/>
      <c r="I1513" s="30"/>
      <c r="J1513" s="30"/>
      <c r="K1513" s="30"/>
      <c r="L1513" s="30"/>
      <c r="M1513" s="30"/>
      <c r="N1513" s="30"/>
      <c r="O1513" s="30"/>
      <c r="P1513" s="30"/>
      <c r="Q1513" s="30"/>
      <c r="R1513" s="30"/>
      <c r="S1513" s="30"/>
      <c r="T1513" s="30"/>
      <c r="U1513" s="30"/>
      <c r="V1513" s="30"/>
      <c r="W1513" s="30"/>
      <c r="X1513" s="30"/>
      <c r="Y1513" s="30"/>
      <c r="Z1513" s="29"/>
      <c r="AA1513" s="30"/>
      <c r="AB1513" s="19"/>
      <c r="AC1513" s="19"/>
      <c r="AD1513" s="19"/>
      <c r="AF1513" s="34" t="e">
        <f>AF94+AF161+AF264+AF452+AF615+AF751+AF882+AF986+AF1100+AF1160+AF1269+AF1352+AF1414+AF1453+AF1507</f>
        <v>#REF!</v>
      </c>
      <c r="AG1513" s="34" t="e">
        <f>AG94+AG161+AG264+AG452+AG615+AG751+AG882+AG986+AG1100+AG1160+AG1269+AG1352+AG1414+AG1453+AG1507</f>
        <v>#REF!</v>
      </c>
      <c r="AH1513" s="34" t="e">
        <f>AH94+AH161+AH264+AH452+AH615+AH751+AH882+AH986+AH1100+AH1160+AH1269+AH1352+AH1414+AH1453+AH1507</f>
        <v>#REF!</v>
      </c>
      <c r="AI1513" s="34" t="e">
        <f>AI94+AI161+AI264+AI452+AI615+AI751+AI882+AI986+AI1100+AI1160+AI1269+AI1352+AI1414+AI1453+AI1507</f>
        <v>#REF!</v>
      </c>
      <c r="AJ1513" s="34" t="e">
        <f>AJ94+AJ161+AJ262+AJ452+AJ615+AJ751+AJ882+AJ986+AJ1100+AJ1160+AJ1269+AJ1352+AJ1414+AJ1453+AJ1507</f>
        <v>#REF!</v>
      </c>
      <c r="AK1513" s="34" t="e">
        <f t="shared" ref="AK1513:AR1513" si="289">AK94+AK161+AK264+AK452+AK615+AK751+AK882+AK986+AK1100+AK1160+AK1269+AK1352+AK1414+AK1453+AK1507</f>
        <v>#REF!</v>
      </c>
      <c r="AL1513" s="34" t="e">
        <f t="shared" si="289"/>
        <v>#REF!</v>
      </c>
      <c r="AM1513" s="34" t="e">
        <f t="shared" si="289"/>
        <v>#VALUE!</v>
      </c>
      <c r="AN1513" s="34" t="e">
        <f t="shared" si="289"/>
        <v>#REF!</v>
      </c>
      <c r="AO1513" s="34" t="e">
        <f t="shared" si="289"/>
        <v>#VALUE!</v>
      </c>
      <c r="AP1513" s="34" t="e">
        <f t="shared" si="289"/>
        <v>#REF!</v>
      </c>
      <c r="AQ1513" s="34" t="e">
        <f t="shared" si="289"/>
        <v>#REF!</v>
      </c>
      <c r="AR1513" s="34" t="e">
        <f t="shared" si="289"/>
        <v>#REF!</v>
      </c>
      <c r="AS1513" s="34"/>
    </row>
    <row r="1514" spans="1:45" x14ac:dyDescent="0.2">
      <c r="A1514" s="18"/>
      <c r="B1514" s="51" t="s">
        <v>402</v>
      </c>
      <c r="D1514" s="19">
        <f>D95+D162+D265+D453+D616+D752+D883+D987+D1101+D1161+D1270+D1454+D1507+D1416+D1353+1</f>
        <v>41167062.482180007</v>
      </c>
      <c r="E1514" s="19" t="e">
        <f>E95+E162+E265+E453+E616+E752+E883+E987+E1101+E1161+E1270+E1353+E1416+E1454+E1507</f>
        <v>#REF!</v>
      </c>
      <c r="F1514" s="19" t="e">
        <f>F95+F162+F265+F453+F616+F752+F883+F987+F1101+F1161+F1270+F1353+F1416+F1454+F1507</f>
        <v>#REF!</v>
      </c>
      <c r="G1514" s="19"/>
      <c r="H1514" s="19">
        <f>H95+H162+H265+H453+H616+H752+H883+H987+H1101+H1161+H1270+H1353+H1416+H1454+H1507</f>
        <v>35103074.875030003</v>
      </c>
      <c r="I1514" s="19" t="e">
        <f>I95+I162+I265+I453+I616+I752+I883+I987+I1101+I1161+I1270+I1353+I1416+I1454+I1507</f>
        <v>#REF!</v>
      </c>
      <c r="J1514" s="19" t="e">
        <f>J95+J162+J265+J453+J616+J752+J883+J987+J1101+J1161+J1270+J1353+J1416+J1454+J1507</f>
        <v>#REF!</v>
      </c>
      <c r="K1514" s="19" t="e">
        <f>K95+K162+K265+K453+K616+K752+K883+K987+K1101+K1161+K1270+K1353+K1416+K1454+K1507</f>
        <v>#REF!</v>
      </c>
      <c r="L1514" s="19" t="e">
        <f>L95+L162+L265+L453+L616+L752+L883+L987+L1101+L1161+L1270+L1353+L1416+L1454+L1507</f>
        <v>#REF!</v>
      </c>
      <c r="M1514" s="19"/>
      <c r="N1514" s="19" t="e">
        <f>N95+N162+N265+N453+N616+N752+N883+N987+N1101+N1161+N1270+N1353+N1416+N1454+N1507</f>
        <v>#REF!</v>
      </c>
      <c r="O1514" s="19" t="e">
        <f>O95+O162+O265+O453+O616+O752+O883+O987+O1101+O1161+O1270+O1353+O1416+O1454+O1507</f>
        <v>#REF!</v>
      </c>
      <c r="P1514" s="19" t="e">
        <f>P95+P162+P265+P453+P616+P752+P883+P987+P1101+P1161+P1270+P1353+P1416+P1454+P1507</f>
        <v>#VALUE!</v>
      </c>
      <c r="Q1514" s="19"/>
      <c r="R1514" s="19">
        <f>R95+R162+R265+R453+R616+R752+R883+R987+R1101+R1161+R1270+R1353+R1416+R1454+R1507</f>
        <v>1033564.3744799999</v>
      </c>
      <c r="S1514" s="19" t="e">
        <f>S95+S162+S265+S453+S616+S752+S883+S987+S1101+S1161+S1270+S1353+S1416+S1454+S1507</f>
        <v>#REF!</v>
      </c>
      <c r="T1514" s="19" t="e">
        <f>T95+T162+T265+T453+T616+T752+T883+T987+T1101+T1161+T1270+T1353+T1416+T1454+T1507</f>
        <v>#REF!</v>
      </c>
      <c r="U1514" s="19" t="e">
        <f>U95+U162+U265+U453+U616+U752+U883+U987+U1101+U1161+U1270+U1353+U1416+U1454+U1507</f>
        <v>#REF!</v>
      </c>
      <c r="V1514" s="19" t="e">
        <f>V95+V162+V265+V453+V616+V752+V883+V987+V1101+V1161+V1270+V1353+V1416+V1454+V1507</f>
        <v>#REF!</v>
      </c>
      <c r="W1514" s="19"/>
      <c r="X1514" s="19" t="e">
        <f>X95+X162+X265+X453+X616+X752+X883+X987+X1101+X1161+X1270+X1353+X1416+X1454+X1507</f>
        <v>#REF!</v>
      </c>
      <c r="Y1514" s="19">
        <f>Y95+Y162+Y265+Y453+Y616+Y752+Y883+Y987+Y1101+Y1161+Y1270+Y1353+Y1416+Y1454+Y1507+1</f>
        <v>36136639.253380001</v>
      </c>
      <c r="Z1514" s="19">
        <f>Z95+Z162+Z265+Z453+Z616+Z752+Z883+Z987+Z1101+Z1161+Z1270+Z1353+Z1416+Z1454+Z1507-3</f>
        <v>5030422.4354499998</v>
      </c>
      <c r="AA1514" s="19" t="e">
        <f>AA95+AA162+AA265+AA453+AA616+AA752+AA883+AA987+AA1101+AA1161+AA1270+AA1353+AA1416+AA1454+AA1507</f>
        <v>#VALUE!</v>
      </c>
      <c r="AB1514" s="19" t="e">
        <f>AB95+AB162+AB265+AB453+AB616+AB752+AB883+AB987+AB1101+AB1161+AB1270+AB1353+AB1416+AB1454+AB1507</f>
        <v>#VALUE!</v>
      </c>
      <c r="AC1514" s="19"/>
      <c r="AD1514" s="19"/>
      <c r="AE1514" s="25" t="s">
        <v>402</v>
      </c>
      <c r="AF1514" s="34"/>
      <c r="AG1514" s="34"/>
      <c r="AH1514" s="34"/>
      <c r="AI1514" s="34"/>
      <c r="AJ1514" s="34"/>
      <c r="AK1514" s="34"/>
      <c r="AL1514" s="34"/>
      <c r="AM1514" s="34"/>
      <c r="AN1514" s="34"/>
      <c r="AO1514" s="34"/>
      <c r="AP1514" s="34"/>
      <c r="AQ1514" s="34"/>
      <c r="AR1514" s="34"/>
      <c r="AS1514" s="34"/>
    </row>
    <row r="1515" spans="1:45" x14ac:dyDescent="0.2">
      <c r="A1515" s="18"/>
      <c r="C1515" s="34"/>
      <c r="D1515" s="21" t="s">
        <v>403</v>
      </c>
      <c r="E1515" s="21" t="s">
        <v>403</v>
      </c>
      <c r="F1515" s="21" t="s">
        <v>403</v>
      </c>
      <c r="G1515" s="21"/>
      <c r="H1515" s="21" t="s">
        <v>403</v>
      </c>
      <c r="I1515" s="21" t="s">
        <v>403</v>
      </c>
      <c r="J1515" s="21" t="s">
        <v>403</v>
      </c>
      <c r="K1515" s="21" t="s">
        <v>403</v>
      </c>
      <c r="L1515" s="21" t="s">
        <v>403</v>
      </c>
      <c r="M1515" s="21"/>
      <c r="N1515" s="21" t="s">
        <v>403</v>
      </c>
      <c r="O1515" s="21" t="s">
        <v>403</v>
      </c>
      <c r="P1515" s="21" t="s">
        <v>403</v>
      </c>
      <c r="Q1515" s="21"/>
      <c r="R1515" s="21" t="s">
        <v>403</v>
      </c>
      <c r="S1515" s="21" t="s">
        <v>403</v>
      </c>
      <c r="T1515" s="21" t="s">
        <v>403</v>
      </c>
      <c r="U1515" s="21" t="s">
        <v>403</v>
      </c>
      <c r="V1515" s="21" t="s">
        <v>403</v>
      </c>
      <c r="W1515" s="21"/>
      <c r="X1515" s="21" t="s">
        <v>403</v>
      </c>
      <c r="Y1515" s="21" t="s">
        <v>403</v>
      </c>
      <c r="Z1515" s="21" t="s">
        <v>403</v>
      </c>
      <c r="AA1515" s="21" t="s">
        <v>403</v>
      </c>
      <c r="AB1515" s="21" t="s">
        <v>403</v>
      </c>
      <c r="AC1515" s="21"/>
      <c r="AD1515" s="21"/>
      <c r="AR1515" s="34"/>
    </row>
    <row r="1516" spans="1:45" x14ac:dyDescent="0.2">
      <c r="C1516" s="34"/>
      <c r="D1516" s="78">
        <f>+D1514-D1574</f>
        <v>0.92587000876665115</v>
      </c>
      <c r="E1516" s="79"/>
      <c r="F1516" s="79"/>
      <c r="G1516" s="79"/>
      <c r="H1516" s="78">
        <f t="shared" ref="H1516:Z1516" si="290">+H1514-H1574</f>
        <v>-0.54498999565839767</v>
      </c>
      <c r="I1516" s="78" t="e">
        <f t="shared" si="290"/>
        <v>#REF!</v>
      </c>
      <c r="J1516" s="78" t="e">
        <f t="shared" si="290"/>
        <v>#REF!</v>
      </c>
      <c r="K1516" s="78" t="e">
        <f t="shared" si="290"/>
        <v>#REF!</v>
      </c>
      <c r="L1516" s="78" t="e">
        <f t="shared" si="290"/>
        <v>#REF!</v>
      </c>
      <c r="M1516" s="78">
        <f t="shared" si="290"/>
        <v>0</v>
      </c>
      <c r="N1516" s="78" t="e">
        <f t="shared" si="290"/>
        <v>#REF!</v>
      </c>
      <c r="O1516" s="78" t="e">
        <f t="shared" si="290"/>
        <v>#REF!</v>
      </c>
      <c r="P1516" s="78" t="e">
        <f t="shared" si="290"/>
        <v>#VALUE!</v>
      </c>
      <c r="Q1516" s="78">
        <f t="shared" si="290"/>
        <v>0</v>
      </c>
      <c r="R1516" s="78">
        <f t="shared" si="290"/>
        <v>0.8565299998736009</v>
      </c>
      <c r="S1516" s="78" t="e">
        <f t="shared" si="290"/>
        <v>#REF!</v>
      </c>
      <c r="T1516" s="78" t="e">
        <f t="shared" si="290"/>
        <v>#REF!</v>
      </c>
      <c r="U1516" s="78" t="e">
        <f t="shared" si="290"/>
        <v>#REF!</v>
      </c>
      <c r="V1516" s="78" t="e">
        <f t="shared" si="290"/>
        <v>#REF!</v>
      </c>
      <c r="W1516" s="78">
        <f t="shared" si="290"/>
        <v>0</v>
      </c>
      <c r="X1516" s="78" t="e">
        <f t="shared" si="290"/>
        <v>#REF!</v>
      </c>
      <c r="Y1516" s="78">
        <f t="shared" si="290"/>
        <v>0.31540999561548233</v>
      </c>
      <c r="Z1516" s="78">
        <f t="shared" si="290"/>
        <v>0.81711000017821789</v>
      </c>
      <c r="AA1516" s="4"/>
      <c r="AB1516" s="4"/>
      <c r="AC1516" s="4"/>
      <c r="AD1516" s="4"/>
    </row>
    <row r="1517" spans="1:45" ht="15.75" thickBot="1" x14ac:dyDescent="0.25">
      <c r="B1517" s="3" t="s">
        <v>404</v>
      </c>
      <c r="D1517" s="37">
        <f>D19+D49+D94+D203+D299+D416+D425+D474+D486+D917+D937+D957+D1118+D1126+D1138+D1151+D1239+D1325+D1330+D1453+D27</f>
        <v>35754.094639999996</v>
      </c>
      <c r="E1517" s="30"/>
      <c r="F1517" s="30"/>
      <c r="G1517" s="30"/>
      <c r="H1517" s="80"/>
      <c r="I1517" s="30"/>
      <c r="J1517" s="30"/>
      <c r="K1517" s="30"/>
      <c r="L1517" s="30"/>
      <c r="M1517" s="30"/>
      <c r="N1517" s="30"/>
      <c r="O1517" s="37">
        <f>+O19+O49+O203+O416+O428+O917+O1118+O1138+O1151+O1239+O474+O299+O1453+O1129+O1325+O1331+O811+O937+O957+O94+O486</f>
        <v>137986.81619999997</v>
      </c>
      <c r="P1517" s="37">
        <f>+P19+P49+P203+P416+P428+P917+P1118+P1138+P1151+P1239+P474+P299+P1453+P1129+P1325+P1331+P811+P937+P957+P94+P486</f>
        <v>0</v>
      </c>
      <c r="Q1517" s="37"/>
      <c r="R1517" s="37">
        <f>R19+R49+R94+R203+R299+R416+R425+R474+R486+R917+R937+R957+R1118+R1126+R1138+R1151+R1239+R1325+R1330+R1453+R27</f>
        <v>35754.093879999993</v>
      </c>
      <c r="S1517" s="37">
        <f t="shared" ref="S1517:X1517" si="291">S19+S49+S94+S203+S299+S416+S425+S474+S486+S917+S937+S957+S1118+S1126+S1138+S1151+S1239+S1325+S1330+S1453</f>
        <v>11929.124220000002</v>
      </c>
      <c r="T1517" s="37">
        <f t="shared" si="291"/>
        <v>11929.124220000002</v>
      </c>
      <c r="U1517" s="37">
        <f t="shared" si="291"/>
        <v>11929.124220000002</v>
      </c>
      <c r="V1517" s="37">
        <f t="shared" si="291"/>
        <v>11929.124220000002</v>
      </c>
      <c r="W1517" s="37">
        <f t="shared" si="291"/>
        <v>11929.124220000002</v>
      </c>
      <c r="X1517" s="37">
        <f t="shared" si="291"/>
        <v>11929.124220000002</v>
      </c>
      <c r="Y1517" s="37">
        <f>Y19+Y49+Y94+Y203+Y299+Y416+Y425+Y474+Y486+Y917+Y937+Y957+Y1118+Y1126+Y1138+Y1151+Y1239+Y1325+Y1330+Y1453+Y27</f>
        <v>35754.093879999993</v>
      </c>
      <c r="Z1517" s="37">
        <f>Z19+Z49+Z94+Z203+Z299+Z416+Z425+Z474+Z486+Z917+Z937+Z957+Z1118+Z1126+Z1138+Z1151+Z1239+Z1325+Z1330+Z1453</f>
        <v>7.5999999899067916E-4</v>
      </c>
      <c r="AA1517" s="4"/>
      <c r="AB1517" s="4"/>
      <c r="AC1517" s="4"/>
      <c r="AD1517" s="4"/>
    </row>
    <row r="1518" spans="1:45" ht="15.75" thickTop="1" x14ac:dyDescent="0.2">
      <c r="C1518" s="3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T1518" s="4"/>
      <c r="U1518" s="4"/>
      <c r="V1518" s="4"/>
      <c r="W1518" s="4"/>
      <c r="X1518" s="4"/>
      <c r="Y1518" s="4"/>
      <c r="Z1518" s="4"/>
      <c r="AA1518" s="4"/>
      <c r="AB1518" s="4"/>
      <c r="AC1518" s="4"/>
      <c r="AD1518" s="4"/>
    </row>
    <row r="1519" spans="1:45" x14ac:dyDescent="0.2">
      <c r="D1519" s="80"/>
      <c r="E1519" s="4"/>
      <c r="F1519" s="81">
        <v>1500000</v>
      </c>
      <c r="G1519" s="4" t="s">
        <v>405</v>
      </c>
      <c r="H1519" s="4"/>
      <c r="I1519" s="4"/>
      <c r="J1519" s="4"/>
      <c r="K1519" s="4"/>
      <c r="L1519" s="4"/>
      <c r="M1519" s="4"/>
      <c r="N1519" s="4"/>
      <c r="O1519" s="4"/>
      <c r="P1519" s="34">
        <v>0</v>
      </c>
      <c r="R1519" s="82"/>
      <c r="W1519" s="4"/>
      <c r="X1519" s="4"/>
      <c r="Y1519" s="4"/>
      <c r="Z1519" s="30"/>
      <c r="AA1519" s="4"/>
      <c r="AB1519" s="4"/>
      <c r="AC1519" s="4"/>
      <c r="AD1519" s="4"/>
    </row>
    <row r="1520" spans="1:45" x14ac:dyDescent="0.2">
      <c r="C1520" s="32"/>
      <c r="D1520" s="4"/>
      <c r="E1520" s="4"/>
      <c r="F1520" s="4">
        <v>0</v>
      </c>
      <c r="G1520" s="4" t="s">
        <v>406</v>
      </c>
      <c r="H1520" s="4"/>
      <c r="O1520" s="34"/>
      <c r="P1520" s="4">
        <v>0</v>
      </c>
      <c r="Q1520" s="4"/>
      <c r="R1520" s="4"/>
      <c r="S1520" s="4"/>
      <c r="T1520" s="4"/>
      <c r="U1520" s="7">
        <v>-6436.84</v>
      </c>
      <c r="V1520" s="4"/>
      <c r="AS1520" s="34"/>
    </row>
    <row r="1521" spans="1:45" x14ac:dyDescent="0.2">
      <c r="A1521" s="18"/>
      <c r="C1521" s="83"/>
      <c r="D1521" s="4"/>
      <c r="E1521" s="4"/>
      <c r="F1521" s="4">
        <v>0</v>
      </c>
      <c r="G1521" s="4" t="s">
        <v>100</v>
      </c>
      <c r="H1521" s="34"/>
      <c r="I1521" s="4"/>
      <c r="J1521" s="4"/>
      <c r="K1521" s="4"/>
      <c r="L1521" s="4"/>
      <c r="M1521" s="4"/>
      <c r="N1521" s="4"/>
      <c r="O1521" s="4"/>
      <c r="P1521" s="84">
        <v>5629341.75</v>
      </c>
      <c r="R1521" s="4"/>
      <c r="S1521" s="4"/>
      <c r="T1521" s="4"/>
      <c r="U1521" s="7"/>
      <c r="V1521" s="4"/>
      <c r="W1521" s="4"/>
      <c r="X1521" s="4"/>
      <c r="Y1521" s="4"/>
      <c r="Z1521" s="4"/>
      <c r="AA1521" s="4"/>
      <c r="AB1521" s="4"/>
      <c r="AC1521" s="4"/>
      <c r="AD1521" s="4"/>
      <c r="AF1521" s="34"/>
      <c r="AG1521" s="34"/>
      <c r="AH1521" s="34"/>
      <c r="AI1521" s="34"/>
      <c r="AJ1521" s="34"/>
      <c r="AK1521" s="34"/>
      <c r="AL1521" s="34"/>
      <c r="AM1521" s="34"/>
      <c r="AN1521" s="34"/>
      <c r="AO1521" s="34"/>
      <c r="AP1521" s="34"/>
      <c r="AQ1521" s="34"/>
      <c r="AR1521" s="34"/>
      <c r="AS1521" s="34"/>
    </row>
    <row r="1522" spans="1:45" x14ac:dyDescent="0.2">
      <c r="A1522" s="18"/>
      <c r="B1522" s="17"/>
      <c r="D1522" s="4"/>
      <c r="E1522" s="4"/>
      <c r="F1522" s="34">
        <v>365655576.51999998</v>
      </c>
      <c r="G1522" s="4" t="s">
        <v>86</v>
      </c>
      <c r="H1522" s="4"/>
      <c r="I1522" s="4"/>
      <c r="J1522" s="4"/>
      <c r="K1522" s="4"/>
      <c r="L1522" s="4"/>
      <c r="M1522" s="4"/>
      <c r="N1522" s="4"/>
      <c r="O1522" s="4"/>
      <c r="P1522" s="85">
        <v>0</v>
      </c>
      <c r="Q1522" s="7"/>
      <c r="R1522" s="77"/>
      <c r="S1522" s="4"/>
      <c r="T1522" s="4"/>
      <c r="U1522" s="4"/>
      <c r="V1522" s="4"/>
      <c r="W1522" s="4"/>
      <c r="X1522" s="4"/>
      <c r="Y1522" s="4"/>
      <c r="Z1522" s="4"/>
      <c r="AA1522" s="7"/>
      <c r="AB1522" s="4"/>
      <c r="AC1522" s="4"/>
      <c r="AD1522" s="4"/>
      <c r="AF1522" s="34"/>
      <c r="AG1522" s="34"/>
      <c r="AH1522" s="34"/>
      <c r="AI1522" s="34"/>
      <c r="AJ1522" s="34"/>
      <c r="AK1522" s="34"/>
      <c r="AL1522" s="34"/>
      <c r="AM1522" s="34"/>
      <c r="AN1522" s="34"/>
      <c r="AO1522" s="34"/>
      <c r="AP1522" s="34"/>
      <c r="AQ1522" s="34"/>
      <c r="AR1522" s="34"/>
      <c r="AS1522" s="34"/>
    </row>
    <row r="1523" spans="1:45" x14ac:dyDescent="0.2">
      <c r="A1523" s="18"/>
      <c r="B1523" s="17"/>
      <c r="D1523" s="4"/>
      <c r="E1523" s="4"/>
      <c r="F1523" s="71">
        <v>0</v>
      </c>
      <c r="G1523" s="4" t="s">
        <v>78</v>
      </c>
      <c r="H1523" s="4"/>
      <c r="I1523" s="4"/>
      <c r="J1523" s="4"/>
      <c r="K1523" s="4"/>
      <c r="L1523" s="4"/>
      <c r="M1523" s="4"/>
      <c r="N1523" s="4"/>
      <c r="O1523" s="4"/>
      <c r="P1523" s="86">
        <v>0</v>
      </c>
      <c r="Q1523" s="4"/>
      <c r="R1523" s="4"/>
      <c r="S1523" s="4"/>
      <c r="T1523" s="4"/>
      <c r="U1523" s="4"/>
      <c r="V1523" s="4"/>
      <c r="W1523" s="4"/>
      <c r="X1523" s="4"/>
      <c r="Y1523" s="4"/>
      <c r="Z1523" s="77"/>
      <c r="AA1523" s="7"/>
      <c r="AB1523" s="7"/>
      <c r="AC1523" s="7"/>
      <c r="AD1523" s="7"/>
      <c r="AF1523" s="34"/>
      <c r="AG1523" s="34"/>
      <c r="AH1523" s="34"/>
      <c r="AI1523" s="34"/>
      <c r="AJ1523" s="34"/>
      <c r="AK1523" s="34"/>
      <c r="AL1523" s="34"/>
      <c r="AM1523" s="34"/>
      <c r="AN1523" s="34"/>
      <c r="AO1523" s="34"/>
      <c r="AP1523" s="34"/>
      <c r="AQ1523" s="34"/>
      <c r="AR1523" s="34"/>
      <c r="AS1523" s="34"/>
    </row>
    <row r="1524" spans="1:45" ht="15.75" thickBot="1" x14ac:dyDescent="0.25">
      <c r="A1524" s="18"/>
      <c r="B1524" s="17"/>
      <c r="D1524" s="4"/>
      <c r="E1524" s="4"/>
      <c r="F1524" s="87">
        <f>+F1522+F1519</f>
        <v>367155576.51999998</v>
      </c>
      <c r="G1524" s="4" t="s">
        <v>121</v>
      </c>
      <c r="H1524" s="77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  <c r="W1524" s="4"/>
      <c r="X1524" s="4"/>
      <c r="Y1524" s="4"/>
      <c r="Z1524" s="77"/>
      <c r="AA1524" s="7"/>
      <c r="AB1524" s="7"/>
      <c r="AC1524" s="7"/>
      <c r="AD1524" s="7"/>
      <c r="AF1524" s="34"/>
      <c r="AG1524" s="34"/>
      <c r="AH1524" s="34"/>
      <c r="AI1524" s="34"/>
      <c r="AJ1524" s="34"/>
      <c r="AK1524" s="34"/>
      <c r="AL1524" s="34"/>
      <c r="AM1524" s="34"/>
      <c r="AN1524" s="34"/>
      <c r="AO1524" s="34"/>
      <c r="AP1524" s="34"/>
      <c r="AQ1524" s="34"/>
      <c r="AR1524" s="34"/>
      <c r="AS1524" s="34"/>
    </row>
    <row r="1525" spans="1:45" ht="15.75" thickTop="1" x14ac:dyDescent="0.2">
      <c r="A1525" s="18"/>
      <c r="B1525" s="17"/>
      <c r="C1525" s="3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T1525" s="4"/>
      <c r="U1525" s="4"/>
      <c r="V1525" s="4"/>
      <c r="W1525" s="4"/>
      <c r="X1525" s="4"/>
      <c r="Y1525" s="4"/>
      <c r="Z1525" s="4"/>
      <c r="AA1525" s="4"/>
      <c r="AB1525" s="4"/>
      <c r="AC1525" s="4"/>
      <c r="AD1525" s="4"/>
      <c r="AF1525" s="34"/>
      <c r="AG1525" s="34"/>
      <c r="AH1525" s="34"/>
      <c r="AI1525" s="34"/>
      <c r="AJ1525" s="34"/>
      <c r="AK1525" s="34"/>
      <c r="AL1525" s="34"/>
      <c r="AM1525" s="34"/>
      <c r="AN1525" s="34"/>
      <c r="AO1525" s="34"/>
      <c r="AP1525" s="34"/>
      <c r="AQ1525" s="34"/>
      <c r="AR1525" s="34"/>
      <c r="AS1525" s="34"/>
    </row>
    <row r="1526" spans="1:45" x14ac:dyDescent="0.2">
      <c r="A1526" s="18"/>
      <c r="B1526" s="17"/>
      <c r="D1526" s="4"/>
      <c r="E1526" s="4"/>
      <c r="F1526" s="7"/>
      <c r="G1526" s="7"/>
      <c r="H1526" s="77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  <c r="W1526" s="4"/>
      <c r="X1526" s="4"/>
      <c r="Y1526" s="4"/>
      <c r="Z1526" s="4"/>
      <c r="AA1526" s="4"/>
      <c r="AB1526" s="4"/>
      <c r="AC1526" s="4"/>
      <c r="AD1526" s="4"/>
      <c r="AF1526" s="34"/>
      <c r="AG1526" s="34"/>
      <c r="AH1526" s="34"/>
      <c r="AI1526" s="34"/>
      <c r="AJ1526" s="34"/>
      <c r="AK1526" s="34"/>
      <c r="AL1526" s="34"/>
      <c r="AM1526" s="34"/>
      <c r="AN1526" s="34"/>
      <c r="AO1526" s="34"/>
      <c r="AP1526" s="34"/>
      <c r="AQ1526" s="34"/>
      <c r="AR1526" s="34"/>
      <c r="AS1526" s="34"/>
    </row>
    <row r="1527" spans="1:45" x14ac:dyDescent="0.2">
      <c r="A1527" s="18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T1527" s="4"/>
      <c r="U1527" s="4"/>
      <c r="V1527" s="4"/>
      <c r="W1527" s="4"/>
      <c r="X1527" s="4"/>
      <c r="Y1527" s="4"/>
      <c r="Z1527" s="4"/>
      <c r="AA1527" s="4"/>
      <c r="AB1527" s="4"/>
      <c r="AC1527" s="4"/>
      <c r="AD1527" s="4"/>
      <c r="AF1527" s="34"/>
      <c r="AG1527" s="34"/>
      <c r="AH1527" s="34"/>
      <c r="AI1527" s="34"/>
      <c r="AJ1527" s="34"/>
      <c r="AK1527" s="34"/>
      <c r="AL1527" s="34"/>
      <c r="AM1527" s="34"/>
      <c r="AN1527" s="34"/>
      <c r="AO1527" s="34"/>
      <c r="AP1527" s="34"/>
      <c r="AQ1527" s="34"/>
      <c r="AR1527" s="34"/>
      <c r="AS1527" s="34"/>
    </row>
    <row r="1528" spans="1:45" x14ac:dyDescent="0.2">
      <c r="A1528" s="18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T1528" s="4"/>
      <c r="U1528" s="4"/>
      <c r="V1528" s="4"/>
      <c r="W1528" s="4"/>
      <c r="X1528" s="4"/>
      <c r="Y1528" s="4"/>
      <c r="Z1528" s="4"/>
      <c r="AA1528" s="4"/>
      <c r="AB1528" s="4"/>
      <c r="AC1528" s="4"/>
      <c r="AD1528" s="4"/>
      <c r="AF1528" s="34"/>
      <c r="AG1528" s="34"/>
      <c r="AH1528" s="34"/>
      <c r="AI1528" s="34"/>
      <c r="AJ1528" s="34"/>
      <c r="AK1528" s="34"/>
      <c r="AL1528" s="34"/>
      <c r="AM1528" s="34"/>
      <c r="AN1528" s="34"/>
      <c r="AO1528" s="34"/>
      <c r="AP1528" s="34"/>
      <c r="AQ1528" s="34"/>
      <c r="AR1528" s="34"/>
      <c r="AS1528" s="34"/>
    </row>
    <row r="1529" spans="1:45" ht="18" x14ac:dyDescent="0.25">
      <c r="A1529" s="18" t="s">
        <v>131</v>
      </c>
      <c r="B1529" s="2" t="s">
        <v>407</v>
      </c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T1529" s="4"/>
      <c r="U1529" s="4"/>
      <c r="V1529" s="4"/>
      <c r="W1529" s="4"/>
      <c r="X1529" s="4"/>
      <c r="Y1529" s="4"/>
      <c r="Z1529" s="4"/>
      <c r="AA1529" s="4"/>
      <c r="AB1529" s="4"/>
      <c r="AC1529" s="4"/>
      <c r="AD1529" s="4"/>
      <c r="AF1529" s="34"/>
      <c r="AG1529" s="34"/>
      <c r="AH1529" s="34"/>
      <c r="AI1529" s="34"/>
      <c r="AJ1529" s="34"/>
      <c r="AK1529" s="34"/>
      <c r="AL1529" s="34"/>
      <c r="AM1529" s="34"/>
      <c r="AN1529" s="34"/>
      <c r="AO1529" s="34"/>
      <c r="AP1529" s="34"/>
      <c r="AQ1529" s="34"/>
      <c r="AR1529" s="34"/>
    </row>
    <row r="1530" spans="1:45" x14ac:dyDescent="0.2">
      <c r="A1530" s="18"/>
      <c r="B1530" s="17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  <c r="W1530" s="4"/>
      <c r="X1530" s="4"/>
      <c r="Y1530" s="4"/>
      <c r="Z1530" s="4"/>
      <c r="AA1530" s="4"/>
      <c r="AB1530" s="4"/>
      <c r="AC1530" s="4"/>
      <c r="AD1530" s="4"/>
    </row>
    <row r="1531" spans="1:45" x14ac:dyDescent="0.2">
      <c r="A1531" s="18"/>
      <c r="AA1531" s="6" t="s">
        <v>121</v>
      </c>
      <c r="AB1531" s="6" t="s">
        <v>15</v>
      </c>
      <c r="AC1531" s="6"/>
      <c r="AD1531" s="6"/>
    </row>
    <row r="1532" spans="1:45" x14ac:dyDescent="0.2">
      <c r="A1532" s="18"/>
      <c r="B1532" s="17"/>
      <c r="D1532" s="6" t="s">
        <v>3</v>
      </c>
      <c r="E1532" s="6" t="s">
        <v>4</v>
      </c>
      <c r="F1532" s="6" t="s">
        <v>5</v>
      </c>
      <c r="G1532" s="6"/>
      <c r="H1532" s="7"/>
      <c r="I1532" s="6" t="s">
        <v>6</v>
      </c>
      <c r="J1532" s="6" t="s">
        <v>7</v>
      </c>
      <c r="K1532" s="6" t="s">
        <v>8</v>
      </c>
      <c r="L1532" s="6" t="s">
        <v>9</v>
      </c>
      <c r="M1532" s="6"/>
      <c r="N1532" s="6" t="s">
        <v>10</v>
      </c>
      <c r="O1532" s="6" t="s">
        <v>11</v>
      </c>
      <c r="P1532" s="6" t="s">
        <v>5</v>
      </c>
      <c r="Q1532" s="6"/>
      <c r="R1532" s="7"/>
      <c r="S1532" s="6" t="s">
        <v>12</v>
      </c>
      <c r="T1532" s="6" t="s">
        <v>7</v>
      </c>
      <c r="U1532" s="6" t="s">
        <v>8</v>
      </c>
      <c r="V1532" s="6" t="s">
        <v>13</v>
      </c>
      <c r="W1532" s="6"/>
      <c r="X1532" s="6" t="s">
        <v>5</v>
      </c>
      <c r="Y1532" s="6" t="s">
        <v>14</v>
      </c>
      <c r="Z1532" s="6" t="s">
        <v>15</v>
      </c>
      <c r="AA1532" s="6" t="s">
        <v>5</v>
      </c>
      <c r="AB1532" s="6" t="s">
        <v>16</v>
      </c>
      <c r="AC1532" s="6"/>
      <c r="AD1532" s="6"/>
    </row>
    <row r="1533" spans="1:45" x14ac:dyDescent="0.2">
      <c r="A1533" s="18"/>
      <c r="B1533" s="17"/>
      <c r="D1533" s="12" t="s">
        <v>17</v>
      </c>
      <c r="E1533" s="12" t="s">
        <v>18</v>
      </c>
      <c r="F1533" s="12" t="s">
        <v>19</v>
      </c>
      <c r="G1533" s="12"/>
      <c r="H1533" s="13" t="s">
        <v>408</v>
      </c>
      <c r="I1533" s="12"/>
      <c r="J1533" s="12"/>
      <c r="K1533" s="12"/>
      <c r="L1533" s="12"/>
      <c r="M1533" s="12"/>
      <c r="N1533" s="12"/>
      <c r="O1533" s="12"/>
      <c r="P1533" s="12"/>
      <c r="Q1533" s="12"/>
      <c r="R1533" s="12"/>
      <c r="S1533" s="12" t="s">
        <v>21</v>
      </c>
      <c r="T1533" s="12" t="s">
        <v>22</v>
      </c>
      <c r="U1533" s="12" t="s">
        <v>23</v>
      </c>
      <c r="V1533" s="12" t="s">
        <v>12</v>
      </c>
      <c r="W1533" s="12"/>
      <c r="X1533" s="12" t="s">
        <v>24</v>
      </c>
      <c r="Y1533" s="6" t="s">
        <v>5</v>
      </c>
      <c r="Z1533" s="12" t="s">
        <v>16</v>
      </c>
      <c r="AA1533" s="12" t="s">
        <v>25</v>
      </c>
      <c r="AB1533" s="12" t="s">
        <v>25</v>
      </c>
      <c r="AC1533" s="12"/>
      <c r="AD1533" s="12"/>
    </row>
    <row r="1534" spans="1:45" x14ac:dyDescent="0.2">
      <c r="A1534" s="18"/>
      <c r="B1534" s="17"/>
      <c r="C1534" s="11"/>
      <c r="D1534" s="16" t="s">
        <v>15</v>
      </c>
      <c r="E1534" s="16"/>
      <c r="F1534" s="16"/>
      <c r="G1534" s="16"/>
      <c r="H1534" s="16" t="s">
        <v>9</v>
      </c>
      <c r="I1534" s="16"/>
      <c r="J1534" s="16"/>
      <c r="K1534" s="16"/>
      <c r="L1534" s="16"/>
      <c r="M1534" s="16"/>
      <c r="N1534" s="16"/>
      <c r="O1534" s="16"/>
      <c r="P1534" s="16"/>
      <c r="Q1534" s="16"/>
      <c r="R1534" s="16" t="s">
        <v>33</v>
      </c>
      <c r="S1534" s="16"/>
      <c r="T1534" s="16"/>
      <c r="U1534" s="16"/>
      <c r="V1534" s="16"/>
      <c r="W1534" s="16"/>
      <c r="X1534" s="16"/>
      <c r="Y1534" s="16" t="s">
        <v>30</v>
      </c>
      <c r="Z1534" s="16" t="s">
        <v>30</v>
      </c>
      <c r="AA1534" s="16" t="s">
        <v>34</v>
      </c>
      <c r="AB1534" s="16" t="s">
        <v>35</v>
      </c>
      <c r="AC1534" s="12"/>
      <c r="AD1534" s="12"/>
    </row>
    <row r="1535" spans="1:45" x14ac:dyDescent="0.2">
      <c r="A1535" s="18"/>
      <c r="C1535" s="11"/>
      <c r="D1535" s="12"/>
      <c r="E1535" s="12"/>
      <c r="F1535" s="12"/>
      <c r="G1535" s="12"/>
      <c r="H1535" s="12"/>
      <c r="I1535" s="12"/>
      <c r="J1535" s="12"/>
      <c r="K1535" s="12"/>
      <c r="L1535" s="12"/>
      <c r="M1535" s="12"/>
      <c r="N1535" s="12"/>
      <c r="O1535" s="12"/>
      <c r="P1535" s="12"/>
      <c r="Q1535" s="12"/>
      <c r="R1535" s="12"/>
      <c r="S1535" s="12"/>
      <c r="T1535" s="12"/>
      <c r="U1535" s="12"/>
      <c r="V1535" s="12"/>
      <c r="W1535" s="12"/>
      <c r="X1535" s="12"/>
      <c r="Y1535" s="12"/>
      <c r="Z1535" s="12"/>
      <c r="AA1535" s="12"/>
      <c r="AB1535" s="12"/>
      <c r="AC1535" s="12"/>
      <c r="AD1535" s="12"/>
    </row>
    <row r="1536" spans="1:45" x14ac:dyDescent="0.2">
      <c r="A1536" s="18"/>
      <c r="B1536" s="17" t="s">
        <v>409</v>
      </c>
      <c r="D1536" s="19">
        <f>4115736221.37/1000</f>
        <v>4115736.2213699999</v>
      </c>
      <c r="E1536" s="19" t="e">
        <f>AG82+AG141+AG253+AG436+AG598+AG733+AG867+AG974+AG1090+AG1153+AG1240+AG1342+AG1403+AG1445+AG1497</f>
        <v>#REF!</v>
      </c>
      <c r="F1536" s="19" t="e">
        <f>AH82+AH141+AH253+AH436+AH598+AH733+AH867+AH974+AH1090+AH1153+AH1240+AH1342+AH1403+AH1445+AH1497</f>
        <v>#REF!</v>
      </c>
      <c r="G1536" s="19"/>
      <c r="H1536" s="19">
        <f>2740956974.16/1000</f>
        <v>2740956.9741599998</v>
      </c>
      <c r="I1536" s="19">
        <f>[1]TOBEPAID!I1179/1000</f>
        <v>127170.04359</v>
      </c>
      <c r="J1536" s="19">
        <f>[1]TOBEPAID!J1179/1000</f>
        <v>174313.28405000002</v>
      </c>
      <c r="K1536" s="19">
        <f>[1]TOBEPAID!K1179/1000</f>
        <v>1295.7525600000001</v>
      </c>
      <c r="L1536" s="19">
        <f>[1]TOBEPAID!L1179/1000</f>
        <v>0</v>
      </c>
      <c r="M1536" s="19">
        <f>[1]TOBEPAID!M1179/1000</f>
        <v>0</v>
      </c>
      <c r="N1536" s="19">
        <f>[1]TOBEPAID!N1179/1000</f>
        <v>127170.04359</v>
      </c>
      <c r="O1536" s="19">
        <f>[1]TOBEPAID!O1179/1000</f>
        <v>174313.28405000002</v>
      </c>
      <c r="P1536" s="19">
        <f>[1]TOBEPAID!P1179/1000</f>
        <v>1295.7525600000001</v>
      </c>
      <c r="Q1536" s="19">
        <f>[1]TOBEPAID!Q1179/1000</f>
        <v>0</v>
      </c>
      <c r="R1536" s="19">
        <f>220999309.65/1000</f>
        <v>220999.30965000001</v>
      </c>
      <c r="S1536" s="19">
        <f>[1]TOBEPAID!S1179/1000</f>
        <v>0</v>
      </c>
      <c r="T1536" s="19">
        <f>[1]TOBEPAID!T1179/1000</f>
        <v>0</v>
      </c>
      <c r="U1536" s="19">
        <f>[1]TOBEPAID!U1179/1000</f>
        <v>0</v>
      </c>
      <c r="V1536" s="19">
        <f>[1]TOBEPAID!V1179/1000</f>
        <v>0</v>
      </c>
      <c r="W1536" s="19">
        <f>[1]TOBEPAID!W1179/1000</f>
        <v>0</v>
      </c>
      <c r="X1536" s="19">
        <f>[1]TOBEPAID!X1179/1000</f>
        <v>175609.03660999998</v>
      </c>
      <c r="Y1536" s="19">
        <f>+H1536+R1536</f>
        <v>2961956.2838099999</v>
      </c>
      <c r="Z1536" s="19">
        <f>+D1536-Y1536</f>
        <v>1153779.93756</v>
      </c>
      <c r="AA1536" s="7">
        <f>BB78+BB126+BB232+BB396+BB541+BB676+BB787+BB906+BB1020+BB1080+BB1153+BB1223+BB1312+BB1358+BB1403</f>
        <v>0</v>
      </c>
      <c r="AB1536" s="7">
        <f>+D1536-N1536-X1536</f>
        <v>3812957.1411700002</v>
      </c>
      <c r="AC1536" s="7"/>
      <c r="AD1536" s="7"/>
    </row>
    <row r="1537" spans="1:30" x14ac:dyDescent="0.2">
      <c r="A1537" s="18"/>
      <c r="B1537" s="17" t="s">
        <v>410</v>
      </c>
      <c r="D1537" s="19">
        <f>225587394/1000</f>
        <v>225587.394</v>
      </c>
      <c r="E1537" s="19">
        <f>AG83+AG142+AG254+AG437+AG599+AG735+AG868+AG975+AG1091+AG1154+AG1241+AG1343+AG1404+AG1446+AG1501</f>
        <v>230846.76191999999</v>
      </c>
      <c r="F1537" s="19">
        <f>AH83+AH142+AH254+AH437+AH599+AH735+AH868+AH975+AH1091+AH1154+AH1241+AH1343+AH1404+AH1446+AH1501</f>
        <v>60000</v>
      </c>
      <c r="G1537" s="19"/>
      <c r="H1537" s="19">
        <f>225587394/1000</f>
        <v>225587.394</v>
      </c>
      <c r="I1537" s="19">
        <f>[1]TOBEPAID!I1180/1000</f>
        <v>225587.39402000001</v>
      </c>
      <c r="J1537" s="19">
        <f>[1]TOBEPAID!J1180/1000</f>
        <v>0</v>
      </c>
      <c r="K1537" s="19">
        <f>[1]TOBEPAID!K1180/1000</f>
        <v>0</v>
      </c>
      <c r="L1537" s="19">
        <f>[1]TOBEPAID!L1180/1000</f>
        <v>0</v>
      </c>
      <c r="M1537" s="19">
        <f>[1]TOBEPAID!M1180/1000</f>
        <v>0</v>
      </c>
      <c r="N1537" s="19">
        <f>[1]TOBEPAID!N1180/1000</f>
        <v>225587.39402000001</v>
      </c>
      <c r="O1537" s="19">
        <f>[1]TOBEPAID!O1180/1000</f>
        <v>0</v>
      </c>
      <c r="P1537" s="19">
        <f>[1]TOBEPAID!P1180/1000</f>
        <v>0</v>
      </c>
      <c r="Q1537" s="19">
        <f>[1]TOBEPAID!Q1180/1000</f>
        <v>0</v>
      </c>
      <c r="R1537" s="19">
        <v>0</v>
      </c>
      <c r="S1537" s="19">
        <f>[1]TOBEPAID!S1180/1000</f>
        <v>0</v>
      </c>
      <c r="T1537" s="19">
        <f>[1]TOBEPAID!T1180/1000</f>
        <v>0</v>
      </c>
      <c r="U1537" s="19">
        <f>[1]TOBEPAID!U1180/1000</f>
        <v>0</v>
      </c>
      <c r="V1537" s="19">
        <f>[1]TOBEPAID!V1180/1000</f>
        <v>0</v>
      </c>
      <c r="W1537" s="19">
        <f>[1]TOBEPAID!W1180/1000</f>
        <v>0</v>
      </c>
      <c r="X1537" s="19">
        <f>[1]TOBEPAID!X1180/1000</f>
        <v>0</v>
      </c>
      <c r="Y1537" s="19">
        <f t="shared" ref="Y1537:Y1572" si="292">+H1537+R1537</f>
        <v>225587.394</v>
      </c>
      <c r="Z1537" s="19">
        <f>+D1537-Y1537</f>
        <v>0</v>
      </c>
      <c r="AA1537" s="7">
        <f>BB79+BB127+BB234+BB397+BB545+BB677+BB788+BB907+BB1021+BB1081+BB1154+BB1224+BB1314+BB1359+BB1404</f>
        <v>0</v>
      </c>
      <c r="AB1537" s="7">
        <f>+D1537-N1537-X1537</f>
        <v>-2.0000006770715117E-5</v>
      </c>
      <c r="AC1537" s="7"/>
      <c r="AD1537" s="7"/>
    </row>
    <row r="1538" spans="1:30" x14ac:dyDescent="0.2">
      <c r="A1538" s="18"/>
      <c r="B1538" s="20" t="s">
        <v>411</v>
      </c>
      <c r="D1538" s="19">
        <f>3929139/1000</f>
        <v>3929.1390000000001</v>
      </c>
      <c r="E1538" s="19">
        <f>AG84+AG143+AG255+AG438+AG600+AG736+AG869+AG976+AG1092+AG1155+AG1245+AG1345+AG1409+AG1447+AG1502</f>
        <v>10299.734039999999</v>
      </c>
      <c r="F1538" s="19">
        <f>AH84+AH143+AH255+AH438+AH600+AH736+AH869+AH976+AH1092+AH1155+AH1245+AH1345+AH1409+AH1447+AH1502</f>
        <v>0</v>
      </c>
      <c r="G1538" s="19"/>
      <c r="H1538" s="19">
        <f>1763926/1000</f>
        <v>1763.9259999999999</v>
      </c>
      <c r="I1538" s="19">
        <f>[1]TOBEPAID!I1181/1000</f>
        <v>1763.9260200000001</v>
      </c>
      <c r="J1538" s="19">
        <f>[1]TOBEPAID!J1181/1000</f>
        <v>2165.21324</v>
      </c>
      <c r="K1538" s="19">
        <f>[1]TOBEPAID!K1181/1000</f>
        <v>0</v>
      </c>
      <c r="L1538" s="19">
        <f>[1]TOBEPAID!L1181/1000</f>
        <v>0</v>
      </c>
      <c r="M1538" s="19">
        <f>[1]TOBEPAID!M1181/1000</f>
        <v>0</v>
      </c>
      <c r="N1538" s="19">
        <f>[1]TOBEPAID!N1181/1000</f>
        <v>1763.9260200000001</v>
      </c>
      <c r="O1538" s="19">
        <f>[1]TOBEPAID!O1181/1000</f>
        <v>2165.21324</v>
      </c>
      <c r="P1538" s="19">
        <f>[1]TOBEPAID!P1181/1000</f>
        <v>0</v>
      </c>
      <c r="Q1538" s="19">
        <f>[1]TOBEPAID!Q1181/1000</f>
        <v>0</v>
      </c>
      <c r="R1538" s="19">
        <f>2165213/1000</f>
        <v>2165.2130000000002</v>
      </c>
      <c r="S1538" s="19">
        <f>[1]TOBEPAID!S1181/1000</f>
        <v>0</v>
      </c>
      <c r="T1538" s="19">
        <f>[1]TOBEPAID!T1181/1000</f>
        <v>0</v>
      </c>
      <c r="U1538" s="19">
        <f>[1]TOBEPAID!U1181/1000</f>
        <v>0</v>
      </c>
      <c r="V1538" s="19">
        <f>[1]TOBEPAID!V1181/1000</f>
        <v>0</v>
      </c>
      <c r="W1538" s="19">
        <f>[1]TOBEPAID!W1181/1000</f>
        <v>0</v>
      </c>
      <c r="X1538" s="19">
        <f>[1]TOBEPAID!X1181/1000</f>
        <v>2165.21324</v>
      </c>
      <c r="Y1538" s="19">
        <f t="shared" si="292"/>
        <v>3929.1390000000001</v>
      </c>
      <c r="Z1538" s="19">
        <f>+Y1538-D1538</f>
        <v>0</v>
      </c>
      <c r="AA1538" s="7">
        <f>BB80+BB128+BB235+BB398+BB546+BB678+BB790+BB908+BB1022+BB1082+BB1155+BB1225+BB1316+BB1360+BB1409</f>
        <v>0</v>
      </c>
      <c r="AB1538" s="7">
        <f>+D1538-N1538-X1538</f>
        <v>-2.5999999979831045E-4</v>
      </c>
      <c r="AC1538" s="7"/>
      <c r="AD1538" s="7"/>
    </row>
    <row r="1539" spans="1:30" x14ac:dyDescent="0.2">
      <c r="A1539" s="18"/>
      <c r="B1539" s="17" t="s">
        <v>210</v>
      </c>
      <c r="D1539" s="19">
        <f>863700114.23/1000</f>
        <v>863700.11423000006</v>
      </c>
      <c r="E1539" s="19"/>
      <c r="F1539" s="19"/>
      <c r="G1539" s="19"/>
      <c r="H1539" s="19">
        <f>848700114.23/1000</f>
        <v>848700.11423000006</v>
      </c>
      <c r="I1539" s="19"/>
      <c r="J1539" s="19"/>
      <c r="K1539" s="19"/>
      <c r="L1539" s="19"/>
      <c r="M1539" s="19"/>
      <c r="N1539" s="19"/>
      <c r="O1539" s="19"/>
      <c r="P1539" s="19"/>
      <c r="Q1539" s="19"/>
      <c r="R1539" s="19">
        <v>0</v>
      </c>
      <c r="S1539" s="19"/>
      <c r="T1539" s="19"/>
      <c r="U1539" s="19"/>
      <c r="V1539" s="19"/>
      <c r="W1539" s="19"/>
      <c r="X1539" s="19"/>
      <c r="Y1539" s="19">
        <f>+H1539+R1539</f>
        <v>848700.11423000006</v>
      </c>
      <c r="Z1539" s="19">
        <f t="shared" ref="Z1539:Z1544" si="293">+D1539-Y1539</f>
        <v>15000</v>
      </c>
      <c r="AA1539" s="7"/>
      <c r="AB1539" s="7"/>
      <c r="AC1539" s="7"/>
      <c r="AD1539" s="7"/>
    </row>
    <row r="1540" spans="1:30" x14ac:dyDescent="0.2">
      <c r="B1540" s="3" t="s">
        <v>412</v>
      </c>
      <c r="D1540" s="19">
        <f>13000000/1000</f>
        <v>13000</v>
      </c>
      <c r="E1540" s="19">
        <f>AG85+AG144+AG256+AG439+AG601+AG737+AG870+AG977+AG1093+AG1156+AG1246+AG1347+AG1410+AG1448+AG1503</f>
        <v>11222.625099999999</v>
      </c>
      <c r="F1540" s="19">
        <f>AH85+AH144+AH256+AH439+AH601+AH737+AH870+AH977+AH1093+AH1156+AH1246+AH1347+AH1410+AH1448+AH1503</f>
        <v>0</v>
      </c>
      <c r="G1540" s="19"/>
      <c r="H1540" s="19">
        <f>13000000/1000</f>
        <v>13000</v>
      </c>
      <c r="I1540" s="19">
        <f>[1]TOBEPAID!I1182/1000</f>
        <v>193119.68414000003</v>
      </c>
      <c r="J1540" s="19">
        <f>[1]TOBEPAID!J1182/1000</f>
        <v>29010.536150000004</v>
      </c>
      <c r="K1540" s="19">
        <f>[1]TOBEPAID!K1182/1000</f>
        <v>522.8424</v>
      </c>
      <c r="L1540" s="19">
        <f>[1]TOBEPAID!L1182/1000</f>
        <v>0</v>
      </c>
      <c r="M1540" s="19">
        <f>[1]TOBEPAID!M1182/1000</f>
        <v>0</v>
      </c>
      <c r="N1540" s="19">
        <f>[1]TOBEPAID!N1182/1000</f>
        <v>13000</v>
      </c>
      <c r="O1540" s="19">
        <f>[1]TOBEPAID!O1182/1000</f>
        <v>0</v>
      </c>
      <c r="P1540" s="19">
        <f>[1]TOBEPAID!P1182/1000</f>
        <v>0</v>
      </c>
      <c r="Q1540" s="19">
        <f>[1]TOBEPAID!Q1182/1000</f>
        <v>0</v>
      </c>
      <c r="R1540" s="19">
        <v>0</v>
      </c>
      <c r="S1540" s="19">
        <f>[1]TOBEPAID!S1182/1000</f>
        <v>0</v>
      </c>
      <c r="T1540" s="19">
        <f>[1]TOBEPAID!T1182/1000</f>
        <v>0</v>
      </c>
      <c r="U1540" s="19">
        <f>[1]TOBEPAID!U1182/1000</f>
        <v>0</v>
      </c>
      <c r="V1540" s="19">
        <f>[1]TOBEPAID!V1182/1000</f>
        <v>0</v>
      </c>
      <c r="W1540" s="19">
        <f>[1]TOBEPAID!W1182/1000</f>
        <v>0</v>
      </c>
      <c r="X1540" s="19">
        <f>[1]TOBEPAID!X1182/1000</f>
        <v>0</v>
      </c>
      <c r="Y1540" s="19">
        <f t="shared" si="292"/>
        <v>13000</v>
      </c>
      <c r="Z1540" s="19">
        <f t="shared" si="293"/>
        <v>0</v>
      </c>
      <c r="AA1540" s="7">
        <f>BB81+BB129+BB236+BB399+BB547+BB679+BB791+BB909+BB1023+BB1083+BB1156+BB1226+BB1317+BB1361+BB1410</f>
        <v>0</v>
      </c>
      <c r="AB1540" s="7">
        <f t="shared" ref="AB1540:AB1550" si="294">+D1540-N1540-X1540</f>
        <v>0</v>
      </c>
      <c r="AC1540" s="7"/>
      <c r="AD1540" s="7"/>
    </row>
    <row r="1541" spans="1:30" x14ac:dyDescent="0.2">
      <c r="A1541" s="18"/>
      <c r="B1541" s="20" t="s">
        <v>413</v>
      </c>
      <c r="D1541" s="19">
        <f>1000000/1000</f>
        <v>1000</v>
      </c>
      <c r="E1541" s="19">
        <f>AG86+AG145+AG257+AG440+AG602+AG738+AG871+AG978+AG1094+AG1157+AG1247+AG1348+AG1411+AG1449+AG1504</f>
        <v>1656.32944</v>
      </c>
      <c r="F1541" s="19">
        <f>AH86+AH145+AH257+AH440+AH602+AH738+AH871+AH978+AH1094+AH1157+AH1247+AH1348+AH1411+AH1449+AH1504</f>
        <v>0</v>
      </c>
      <c r="G1541" s="19"/>
      <c r="H1541" s="19">
        <f>1000000/1000</f>
        <v>1000</v>
      </c>
      <c r="I1541" s="19">
        <f>[1]TOBEPAID!I1183/1000</f>
        <v>0</v>
      </c>
      <c r="J1541" s="19">
        <f>[1]TOBEPAID!J1183/1000</f>
        <v>0</v>
      </c>
      <c r="K1541" s="19">
        <f>[1]TOBEPAID!K1183/1000</f>
        <v>0</v>
      </c>
      <c r="L1541" s="19">
        <f>[1]TOBEPAID!L1183/1000</f>
        <v>0</v>
      </c>
      <c r="M1541" s="19">
        <f>[1]TOBEPAID!M1183/1000</f>
        <v>0</v>
      </c>
      <c r="N1541" s="19">
        <f>[1]TOBEPAID!N1183/1000</f>
        <v>1000</v>
      </c>
      <c r="O1541" s="19">
        <f>[1]TOBEPAID!O1183/1000</f>
        <v>0</v>
      </c>
      <c r="P1541" s="19">
        <f>[1]TOBEPAID!P1183/1000</f>
        <v>0</v>
      </c>
      <c r="Q1541" s="19">
        <f>[1]TOBEPAID!Q1183/1000</f>
        <v>0</v>
      </c>
      <c r="R1541" s="19">
        <v>0</v>
      </c>
      <c r="S1541" s="19">
        <f>[1]TOBEPAID!S1183/1000</f>
        <v>0</v>
      </c>
      <c r="T1541" s="19">
        <f>[1]TOBEPAID!T1183/1000</f>
        <v>0</v>
      </c>
      <c r="U1541" s="19">
        <f>[1]TOBEPAID!U1183/1000</f>
        <v>0</v>
      </c>
      <c r="V1541" s="19">
        <f>[1]TOBEPAID!V1183/1000</f>
        <v>0</v>
      </c>
      <c r="W1541" s="19">
        <f>[1]TOBEPAID!W1183/1000</f>
        <v>0</v>
      </c>
      <c r="X1541" s="19">
        <f>[1]TOBEPAID!X1183/1000</f>
        <v>0</v>
      </c>
      <c r="Y1541" s="19">
        <f t="shared" si="292"/>
        <v>1000</v>
      </c>
      <c r="Z1541" s="19">
        <f t="shared" si="293"/>
        <v>0</v>
      </c>
      <c r="AA1541" s="7">
        <f>BB81+BB129+BB236+BB399+BB547+BB679+BB791+BB909+BB1023+BB1083+BB1156+BB1226+BB1317+BB1361+BB1410</f>
        <v>0</v>
      </c>
      <c r="AB1541" s="7">
        <f t="shared" si="294"/>
        <v>0</v>
      </c>
      <c r="AC1541" s="7"/>
      <c r="AD1541" s="7"/>
    </row>
    <row r="1542" spans="1:30" x14ac:dyDescent="0.2">
      <c r="B1542" s="3" t="s">
        <v>182</v>
      </c>
      <c r="D1542" s="19">
        <v>0</v>
      </c>
      <c r="E1542" s="19" t="e">
        <f>AG87+AG147+#REF!+AG441+AG603+AG739+AG872+AG979+AG1097+AG1158+AG1248+AG1349+AG1412+AG1450+AG1505</f>
        <v>#REF!</v>
      </c>
      <c r="F1542" s="19" t="e">
        <f>AH87+AH147+#REF!+AH441+AH603+AH739+AH872+AH979+AH1097+AH1158+AH1248+AH1349+AH1412+AH1450+AH1505</f>
        <v>#REF!</v>
      </c>
      <c r="G1542" s="19"/>
      <c r="H1542" s="19">
        <v>0</v>
      </c>
      <c r="I1542" s="19">
        <f>[1]TOBEPAID!I1184/1000</f>
        <v>202309.11129999999</v>
      </c>
      <c r="J1542" s="19">
        <f>[1]TOBEPAID!J1184/1000</f>
        <v>5947.2390699999996</v>
      </c>
      <c r="K1542" s="19">
        <f>[1]TOBEPAID!K1184/1000</f>
        <v>0</v>
      </c>
      <c r="L1542" s="19">
        <f>[1]TOBEPAID!L1184/1000</f>
        <v>0</v>
      </c>
      <c r="M1542" s="19">
        <f>[1]TOBEPAID!M1184/1000</f>
        <v>0</v>
      </c>
      <c r="N1542" s="19">
        <f>[1]TOBEPAID!N1184/1000</f>
        <v>145574.57649000001</v>
      </c>
      <c r="O1542" s="19">
        <f>[1]TOBEPAID!O1184/1000</f>
        <v>0</v>
      </c>
      <c r="P1542" s="19">
        <f>[1]TOBEPAID!P1184/1000</f>
        <v>0</v>
      </c>
      <c r="Q1542" s="19">
        <f>[1]TOBEPAID!Q1184/1000</f>
        <v>0</v>
      </c>
      <c r="R1542" s="19">
        <v>0</v>
      </c>
      <c r="S1542" s="19">
        <f>[1]TOBEPAID!S1184/1000</f>
        <v>0</v>
      </c>
      <c r="T1542" s="19">
        <f>[1]TOBEPAID!T1184/1000</f>
        <v>0</v>
      </c>
      <c r="U1542" s="19">
        <f>[1]TOBEPAID!U1184/1000</f>
        <v>0</v>
      </c>
      <c r="V1542" s="19">
        <f>[1]TOBEPAID!V1184/1000</f>
        <v>0</v>
      </c>
      <c r="W1542" s="19">
        <f>[1]TOBEPAID!W1184/1000</f>
        <v>0</v>
      </c>
      <c r="X1542" s="19">
        <f>[1]TOBEPAID!X1184/1000</f>
        <v>0</v>
      </c>
      <c r="Y1542" s="19">
        <f t="shared" si="292"/>
        <v>0</v>
      </c>
      <c r="Z1542" s="19">
        <f t="shared" si="293"/>
        <v>0</v>
      </c>
      <c r="AA1542" s="7">
        <f>BB82+BB130+BB237+BB400+BB548+BB680+BB792+BB911+BB1024+BB1085+BB1157+BB1227+BB1320+BB1364+BB1412</f>
        <v>0</v>
      </c>
      <c r="AB1542" s="7">
        <f t="shared" si="294"/>
        <v>-145574.57649000001</v>
      </c>
      <c r="AC1542" s="7"/>
      <c r="AD1542" s="7"/>
    </row>
    <row r="1543" spans="1:30" x14ac:dyDescent="0.2">
      <c r="A1543" s="18"/>
      <c r="B1543" s="20" t="s">
        <v>70</v>
      </c>
      <c r="D1543" s="19">
        <f>300428000/1000</f>
        <v>300428</v>
      </c>
      <c r="E1543" s="19">
        <f>AG88+AG150+AG258+AG442+AG604+AG743+AG875+AG980+AG1098+AG1159+AG1249+AG1350+AG1413+AG1451+AG1506</f>
        <v>45019.767959999997</v>
      </c>
      <c r="F1543" s="19">
        <f>AH88+AH150+AH258+AH442+AH604+AH743+AH875+AH980+AH1098+AH1159+AH1249+AH1350+AH1413+AH1451+AH1506</f>
        <v>0</v>
      </c>
      <c r="G1543" s="19"/>
      <c r="H1543" s="19">
        <f>300428586/1000</f>
        <v>300428.58600000001</v>
      </c>
      <c r="I1543" s="19">
        <f>[1]TOBEPAID!I1185/1000</f>
        <v>300428.58600000001</v>
      </c>
      <c r="J1543" s="19">
        <f>[1]TOBEPAID!J1185/1000</f>
        <v>0</v>
      </c>
      <c r="K1543" s="19">
        <f>[1]TOBEPAID!K1185/1000</f>
        <v>0</v>
      </c>
      <c r="L1543" s="19">
        <f>[1]TOBEPAID!L1185/1000</f>
        <v>0</v>
      </c>
      <c r="M1543" s="19">
        <f>[1]TOBEPAID!M1185/1000</f>
        <v>0</v>
      </c>
      <c r="N1543" s="19">
        <f>[1]TOBEPAID!N1185/1000</f>
        <v>300428.58600000001</v>
      </c>
      <c r="O1543" s="19">
        <f>[1]TOBEPAID!O1185/1000</f>
        <v>0</v>
      </c>
      <c r="P1543" s="19">
        <f>[1]TOBEPAID!P1185/1000</f>
        <v>0</v>
      </c>
      <c r="Q1543" s="19">
        <f>[1]TOBEPAID!Q1185/1000</f>
        <v>0</v>
      </c>
      <c r="R1543" s="19">
        <v>0</v>
      </c>
      <c r="S1543" s="19">
        <f>[1]TOBEPAID!S1185/1000</f>
        <v>0</v>
      </c>
      <c r="T1543" s="19">
        <f>[1]TOBEPAID!T1185/1000</f>
        <v>0</v>
      </c>
      <c r="U1543" s="19">
        <f>[1]TOBEPAID!U1185/1000</f>
        <v>0</v>
      </c>
      <c r="V1543" s="19">
        <f>[1]TOBEPAID!V1185/1000</f>
        <v>0</v>
      </c>
      <c r="W1543" s="19">
        <f>[1]TOBEPAID!W1185/1000</f>
        <v>0</v>
      </c>
      <c r="X1543" s="19">
        <f>[1]TOBEPAID!X1185/1000</f>
        <v>0</v>
      </c>
      <c r="Y1543" s="19">
        <f t="shared" si="292"/>
        <v>300428.58600000001</v>
      </c>
      <c r="Z1543" s="19">
        <f t="shared" si="293"/>
        <v>-0.58600000001024455</v>
      </c>
      <c r="AA1543" s="7">
        <f>BB82+BB130+BB237+BB400+BB548+BB680+BB792+BB911+BB1024+BB1085+BB1157+BB1227+BB1320+BB1364+BB1412</f>
        <v>0</v>
      </c>
      <c r="AB1543" s="7">
        <f t="shared" si="294"/>
        <v>-0.58600000001024455</v>
      </c>
      <c r="AC1543" s="7"/>
      <c r="AD1543" s="7"/>
    </row>
    <row r="1544" spans="1:30" x14ac:dyDescent="0.2">
      <c r="A1544" s="18"/>
      <c r="B1544" s="3" t="s">
        <v>414</v>
      </c>
      <c r="D1544" s="19">
        <f>8840000/1000</f>
        <v>8840</v>
      </c>
      <c r="E1544" s="19" t="e">
        <f>AG89+AG153+AG261+AG443+AG605+AG744+AG876+AG981+AG1099+AG1160+AG1260+AG1351+AG1414+AG1452+AG1507</f>
        <v>#VALUE!</v>
      </c>
      <c r="F1544" s="19" t="e">
        <f>AH89+AH153+AH261+AH443+AH605+AH744+AH876+AH981+AH1099+AH1160+AH1260+AH1351+AH1414+AH1452+AH1507</f>
        <v>#VALUE!</v>
      </c>
      <c r="G1544" s="19"/>
      <c r="H1544" s="19">
        <f>8840000/1000</f>
        <v>8840</v>
      </c>
      <c r="I1544" s="19">
        <f>[1]TOBEPAID!I1186/1000</f>
        <v>8840</v>
      </c>
      <c r="J1544" s="19">
        <f>[1]TOBEPAID!J1186/1000</f>
        <v>0</v>
      </c>
      <c r="K1544" s="19">
        <f>[1]TOBEPAID!K1186/1000</f>
        <v>0</v>
      </c>
      <c r="L1544" s="19">
        <f>[1]TOBEPAID!L1186/1000</f>
        <v>0</v>
      </c>
      <c r="M1544" s="19">
        <f>[1]TOBEPAID!M1186/1000</f>
        <v>0</v>
      </c>
      <c r="N1544" s="19">
        <f>[1]TOBEPAID!N1186/1000</f>
        <v>8840</v>
      </c>
      <c r="O1544" s="19">
        <f>[1]TOBEPAID!O1186/1000</f>
        <v>0</v>
      </c>
      <c r="P1544" s="19">
        <f>[1]TOBEPAID!P1186/1000</f>
        <v>0</v>
      </c>
      <c r="Q1544" s="19">
        <f>[1]TOBEPAID!Q1186/1000</f>
        <v>0</v>
      </c>
      <c r="R1544" s="19">
        <v>0</v>
      </c>
      <c r="S1544" s="19">
        <f>[1]TOBEPAID!S1186/1000</f>
        <v>0</v>
      </c>
      <c r="T1544" s="19">
        <f>[1]TOBEPAID!T1186/1000</f>
        <v>0</v>
      </c>
      <c r="U1544" s="19">
        <f>[1]TOBEPAID!U1186/1000</f>
        <v>0</v>
      </c>
      <c r="V1544" s="19">
        <f>[1]TOBEPAID!V1186/1000</f>
        <v>0</v>
      </c>
      <c r="W1544" s="19">
        <f>[1]TOBEPAID!W1186/1000</f>
        <v>0</v>
      </c>
      <c r="X1544" s="19">
        <f>[1]TOBEPAID!X1186/1000</f>
        <v>0</v>
      </c>
      <c r="Y1544" s="19">
        <f t="shared" si="292"/>
        <v>8840</v>
      </c>
      <c r="Z1544" s="19">
        <f t="shared" si="293"/>
        <v>0</v>
      </c>
      <c r="AA1544" s="7">
        <f>BB83+BB131+BB238+BB401+BB550+BB681+BB795+BB912+BB1027+BB1086+BB1158+BB1228+BB1321+BB1365+BB1413</f>
        <v>0</v>
      </c>
      <c r="AB1544" s="7">
        <f t="shared" si="294"/>
        <v>0</v>
      </c>
      <c r="AC1544" s="7"/>
      <c r="AD1544" s="7"/>
    </row>
    <row r="1545" spans="1:30" x14ac:dyDescent="0.2">
      <c r="A1545" s="18"/>
      <c r="B1545" s="3" t="s">
        <v>234</v>
      </c>
      <c r="D1545" s="19">
        <f>244439707/1000</f>
        <v>244439.70699999999</v>
      </c>
      <c r="E1545" s="19" t="e">
        <f>AG90+AG157+AG262+AG444+AG606+AG745+AG879+AG982+AG1100+AG1161+AG1263+AG1352+AG1415+AG1453+AG1508</f>
        <v>#REF!</v>
      </c>
      <c r="F1545" s="19" t="e">
        <f>AH90+AH157+AH262+AH444+AH606+AH745+AH879+AH982+AH1100+AH1161+AH1263+AH1352+AH1415+AH1453+AH1508</f>
        <v>#REF!</v>
      </c>
      <c r="G1545" s="19"/>
      <c r="H1545" s="19">
        <f>244439707/1000</f>
        <v>244439.70699999999</v>
      </c>
      <c r="I1545" s="19">
        <f>[1]TOBEPAID!I1187/1000</f>
        <v>269439.70798000001</v>
      </c>
      <c r="J1545" s="19">
        <f>[1]TOBEPAID!J1187/1000</f>
        <v>0</v>
      </c>
      <c r="K1545" s="19">
        <f>[1]TOBEPAID!K1187/1000</f>
        <v>0</v>
      </c>
      <c r="L1545" s="19">
        <f>[1]TOBEPAID!L1187/1000</f>
        <v>0</v>
      </c>
      <c r="M1545" s="19">
        <f>[1]TOBEPAID!M1187/1000</f>
        <v>0</v>
      </c>
      <c r="N1545" s="19">
        <f>[1]TOBEPAID!N1187/1000</f>
        <v>244439.70797999998</v>
      </c>
      <c r="O1545" s="19">
        <f>[1]TOBEPAID!O1187/1000</f>
        <v>0</v>
      </c>
      <c r="P1545" s="19">
        <f>[1]TOBEPAID!P1187/1000</f>
        <v>0</v>
      </c>
      <c r="Q1545" s="19">
        <f>[1]TOBEPAID!Q1187/1000</f>
        <v>0</v>
      </c>
      <c r="R1545" s="19">
        <v>0</v>
      </c>
      <c r="S1545" s="19">
        <f>[1]TOBEPAID!S1187/1000</f>
        <v>0</v>
      </c>
      <c r="T1545" s="19">
        <f>[1]TOBEPAID!T1187/1000</f>
        <v>0</v>
      </c>
      <c r="U1545" s="19">
        <f>[1]TOBEPAID!U1187/1000</f>
        <v>0</v>
      </c>
      <c r="V1545" s="19">
        <f>[1]TOBEPAID!V1187/1000</f>
        <v>0</v>
      </c>
      <c r="W1545" s="19">
        <f>[1]TOBEPAID!W1187/1000</f>
        <v>0</v>
      </c>
      <c r="X1545" s="19">
        <f>[1]TOBEPAID!X1187/1000</f>
        <v>0</v>
      </c>
      <c r="Y1545" s="19">
        <f t="shared" si="292"/>
        <v>244439.70699999999</v>
      </c>
      <c r="Z1545" s="19">
        <f>+Y1545-D1545</f>
        <v>0</v>
      </c>
      <c r="AA1545" s="7">
        <f>BB84+BB132+BB239+BB402+BB551+BB682+BB796+BB913+BB1028+BB1087+BB1159+BB1229+BB1322+BB1366+BB1414</f>
        <v>0</v>
      </c>
      <c r="AB1545" s="7">
        <f t="shared" si="294"/>
        <v>-9.7999998251907527E-4</v>
      </c>
      <c r="AC1545" s="7"/>
      <c r="AD1545" s="7"/>
    </row>
    <row r="1546" spans="1:30" x14ac:dyDescent="0.2">
      <c r="A1546" s="18"/>
      <c r="B1546" s="20" t="s">
        <v>415</v>
      </c>
      <c r="D1546" s="19">
        <f>34319767/1000</f>
        <v>34319.767</v>
      </c>
      <c r="E1546" s="19" t="e">
        <f>AG91+AG158+AG263+AG445+AG607+AG746+AG880+AG986+AG1101+AG1162+AG1266+AG1353+AG1416+AG1454+AG1513</f>
        <v>#REF!</v>
      </c>
      <c r="F1546" s="19" t="e">
        <f>AH91+AH158+AH263+AH445+AH607+AH746+AH880+AH986+AH1101+AH1162+AH1266+AH1353+AH1416+AH1454+AH1513</f>
        <v>#REF!</v>
      </c>
      <c r="G1546" s="19"/>
      <c r="H1546" s="19">
        <f>34319767/1000</f>
        <v>34319.767</v>
      </c>
      <c r="I1546" s="19">
        <f>[1]TOBEPAID!I1188/1000</f>
        <v>34319.767959999997</v>
      </c>
      <c r="J1546" s="19">
        <f>[1]TOBEPAID!J1188/1000</f>
        <v>0</v>
      </c>
      <c r="K1546" s="19">
        <f>[1]TOBEPAID!K1188/1000</f>
        <v>0</v>
      </c>
      <c r="L1546" s="19">
        <f>[1]TOBEPAID!L1188/1000</f>
        <v>0</v>
      </c>
      <c r="M1546" s="19">
        <f>[1]TOBEPAID!M1188/1000</f>
        <v>0</v>
      </c>
      <c r="N1546" s="19">
        <f>[1]TOBEPAID!N1188/1000</f>
        <v>34319.767959999997</v>
      </c>
      <c r="O1546" s="19">
        <f>[1]TOBEPAID!O1188/1000</f>
        <v>0</v>
      </c>
      <c r="P1546" s="19">
        <f>[1]TOBEPAID!P1188/1000</f>
        <v>0</v>
      </c>
      <c r="Q1546" s="19">
        <f>[1]TOBEPAID!Q1188/1000</f>
        <v>0</v>
      </c>
      <c r="R1546" s="19">
        <v>0</v>
      </c>
      <c r="S1546" s="19">
        <f>[1]TOBEPAID!S1188/1000</f>
        <v>0</v>
      </c>
      <c r="T1546" s="19">
        <f>[1]TOBEPAID!T1188/1000</f>
        <v>0</v>
      </c>
      <c r="U1546" s="19">
        <f>[1]TOBEPAID!U1188/1000</f>
        <v>0</v>
      </c>
      <c r="V1546" s="19">
        <f>[1]TOBEPAID!V1188/1000</f>
        <v>0</v>
      </c>
      <c r="W1546" s="19">
        <f>[1]TOBEPAID!W1188/1000</f>
        <v>0</v>
      </c>
      <c r="X1546" s="19">
        <f>[1]TOBEPAID!X1188/1000</f>
        <v>0</v>
      </c>
      <c r="Y1546" s="19">
        <f t="shared" si="292"/>
        <v>34319.767</v>
      </c>
      <c r="Z1546" s="19">
        <f>+Y1546-D1546</f>
        <v>0</v>
      </c>
      <c r="AA1546" s="7" t="e">
        <f>BB85+BB133+BB240+BB403+BB552+BB683+BB797+BB914+BB1030+BB1088+BB1160+BB1233+BB1323+BB1367+#REF!</f>
        <v>#REF!</v>
      </c>
      <c r="AB1546" s="7">
        <f t="shared" si="294"/>
        <v>-9.59999997576233E-4</v>
      </c>
      <c r="AC1546" s="7"/>
      <c r="AD1546" s="7"/>
    </row>
    <row r="1547" spans="1:30" x14ac:dyDescent="0.2">
      <c r="A1547" s="18"/>
      <c r="B1547" s="20" t="s">
        <v>416</v>
      </c>
      <c r="D1547" s="19">
        <f>9500000/1000</f>
        <v>9500</v>
      </c>
      <c r="E1547" s="19">
        <f>AG92+AG159+AG264+AG448+AG612+AG747+AG881+AG987+AG1102+AG1163+AG1267+AG1354+AG1417+AG1455+AG1514</f>
        <v>113136.919716</v>
      </c>
      <c r="F1547" s="19">
        <f>AH92+AH159+AH264+AH448+AH612+AH747+AH881+AH987+AH1102+AH1163+AH1267+AH1354+AH1417+AH1455+AH1514</f>
        <v>0</v>
      </c>
      <c r="G1547" s="19"/>
      <c r="H1547" s="19">
        <f>9500000/1000</f>
        <v>9500</v>
      </c>
      <c r="I1547" s="19">
        <f>[1]TOBEPAID!I1189/1000</f>
        <v>9500</v>
      </c>
      <c r="J1547" s="19">
        <f>[1]TOBEPAID!J1189/1000</f>
        <v>0</v>
      </c>
      <c r="K1547" s="19">
        <f>[1]TOBEPAID!K1189/1000</f>
        <v>0</v>
      </c>
      <c r="L1547" s="19">
        <f>[1]TOBEPAID!L1189/1000</f>
        <v>0</v>
      </c>
      <c r="M1547" s="19">
        <f>[1]TOBEPAID!M1189/1000</f>
        <v>0</v>
      </c>
      <c r="N1547" s="19">
        <f>[1]TOBEPAID!N1189/1000</f>
        <v>9500</v>
      </c>
      <c r="O1547" s="19">
        <f>[1]TOBEPAID!O1189/1000</f>
        <v>0</v>
      </c>
      <c r="P1547" s="19">
        <f>[1]TOBEPAID!P1189/1000</f>
        <v>0</v>
      </c>
      <c r="Q1547" s="19">
        <f>[1]TOBEPAID!Q1189/1000</f>
        <v>0</v>
      </c>
      <c r="R1547" s="19">
        <v>0</v>
      </c>
      <c r="S1547" s="19">
        <f>[1]TOBEPAID!S1189/1000</f>
        <v>0</v>
      </c>
      <c r="T1547" s="19">
        <f>[1]TOBEPAID!T1189/1000</f>
        <v>0</v>
      </c>
      <c r="U1547" s="19">
        <f>[1]TOBEPAID!U1189/1000</f>
        <v>0</v>
      </c>
      <c r="V1547" s="19">
        <f>[1]TOBEPAID!V1189/1000</f>
        <v>0</v>
      </c>
      <c r="W1547" s="19">
        <f>[1]TOBEPAID!W1189/1000</f>
        <v>0</v>
      </c>
      <c r="X1547" s="19">
        <f>[1]TOBEPAID!X1189/1000</f>
        <v>0</v>
      </c>
      <c r="Y1547" s="19">
        <f t="shared" si="292"/>
        <v>9500</v>
      </c>
      <c r="Z1547" s="19">
        <f t="shared" ref="Z1547:Z1572" si="295">+D1547-Y1547</f>
        <v>0</v>
      </c>
      <c r="AA1547" s="7">
        <f>BB86+BB139+BB241+BB404+BB553+BB684+BB798+BB915+BB1031+BB1089+BB1161+BB1234+BB1324+BB1368+BB1415</f>
        <v>0</v>
      </c>
      <c r="AB1547" s="7">
        <f t="shared" si="294"/>
        <v>0</v>
      </c>
      <c r="AC1547" s="7"/>
      <c r="AD1547" s="7"/>
    </row>
    <row r="1548" spans="1:30" x14ac:dyDescent="0.2">
      <c r="A1548" s="18"/>
      <c r="B1548" s="3" t="s">
        <v>315</v>
      </c>
      <c r="D1548" s="19">
        <f>1300000/1000</f>
        <v>1300</v>
      </c>
      <c r="E1548" s="19" t="e">
        <f>AG93+AG160+AG265+AG449+AG613+AG748+AG882+AG988+AG1103+AG1164+AG1268+AG1355+#REF!+AG1456+AG1515</f>
        <v>#REF!</v>
      </c>
      <c r="F1548" s="19" t="e">
        <f>AH93+AH160+AH265+AH449+AH613+AH748+AH882+AH988+AH1103+AH1164+AH1268+AH1355+#REF!+AH1456+AH1515</f>
        <v>#REF!</v>
      </c>
      <c r="G1548" s="19"/>
      <c r="H1548" s="19">
        <f>1300000/1000</f>
        <v>1300</v>
      </c>
      <c r="I1548" s="19">
        <f>[1]TOBEPAID!I1190/1000</f>
        <v>1300</v>
      </c>
      <c r="J1548" s="19">
        <f>[1]TOBEPAID!J1190/1000</f>
        <v>0</v>
      </c>
      <c r="K1548" s="19">
        <f>[1]TOBEPAID!K1190/1000</f>
        <v>0</v>
      </c>
      <c r="L1548" s="19">
        <f>[1]TOBEPAID!L1190/1000</f>
        <v>0</v>
      </c>
      <c r="M1548" s="19">
        <f>[1]TOBEPAID!M1190/1000</f>
        <v>0</v>
      </c>
      <c r="N1548" s="19">
        <f>[1]TOBEPAID!N1190/1000</f>
        <v>1300</v>
      </c>
      <c r="O1548" s="19">
        <f>[1]TOBEPAID!O1190/1000</f>
        <v>0</v>
      </c>
      <c r="P1548" s="19">
        <f>[1]TOBEPAID!P1190/1000</f>
        <v>0</v>
      </c>
      <c r="Q1548" s="19">
        <f>[1]TOBEPAID!Q1190/1000</f>
        <v>0</v>
      </c>
      <c r="R1548" s="19">
        <v>0</v>
      </c>
      <c r="S1548" s="19">
        <f>[1]TOBEPAID!S1190/1000</f>
        <v>0</v>
      </c>
      <c r="T1548" s="19">
        <f>[1]TOBEPAID!T1190/1000</f>
        <v>0</v>
      </c>
      <c r="U1548" s="19">
        <f>[1]TOBEPAID!U1190/1000</f>
        <v>0</v>
      </c>
      <c r="V1548" s="19">
        <f>[1]TOBEPAID!V1190/1000</f>
        <v>0</v>
      </c>
      <c r="W1548" s="19">
        <f>[1]TOBEPAID!W1190/1000</f>
        <v>0</v>
      </c>
      <c r="X1548" s="19">
        <f>[1]TOBEPAID!X1190/1000</f>
        <v>0</v>
      </c>
      <c r="Y1548" s="19">
        <f t="shared" si="292"/>
        <v>1300</v>
      </c>
      <c r="Z1548" s="19">
        <f t="shared" si="295"/>
        <v>0</v>
      </c>
      <c r="AA1548" s="7">
        <f>BB87+BB140+BB242+BB406+BB558+BB685+BB799+BB916+BB1032+BB1090+BB1162+BB1235+BB1325+BB1369+BB1416</f>
        <v>0</v>
      </c>
      <c r="AB1548" s="7">
        <f t="shared" si="294"/>
        <v>0</v>
      </c>
      <c r="AC1548" s="7"/>
      <c r="AD1548" s="7"/>
    </row>
    <row r="1549" spans="1:30" x14ac:dyDescent="0.2">
      <c r="A1549" s="18"/>
      <c r="B1549" s="17" t="s">
        <v>417</v>
      </c>
      <c r="D1549" s="19">
        <f>182409/1000</f>
        <v>182.40899999999999</v>
      </c>
      <c r="E1549" s="19" t="e">
        <f>AG94+AG161+AG266+AG450+AG614+AG749+AG883+AG989+AG1104+AG1165+AG1269+AG1356+#REF!+AG1457+AG1516</f>
        <v>#REF!</v>
      </c>
      <c r="F1549" s="19" t="e">
        <f>AH94+AH161+AH266+AH450+AH614+AH749+AH883+AH989+AH1104+AH1165+AH1269+AH1356+#REF!+AH1457+AH1516</f>
        <v>#REF!</v>
      </c>
      <c r="G1549" s="19"/>
      <c r="H1549" s="19">
        <v>0</v>
      </c>
      <c r="I1549" s="19">
        <f>[1]TOBEPAID!I1191/1000</f>
        <v>0</v>
      </c>
      <c r="J1549" s="19">
        <f>[1]TOBEPAID!J1191/1000</f>
        <v>0</v>
      </c>
      <c r="K1549" s="19">
        <f>[1]TOBEPAID!K1191/1000</f>
        <v>0</v>
      </c>
      <c r="L1549" s="19">
        <f>[1]TOBEPAID!L1191/1000</f>
        <v>0</v>
      </c>
      <c r="M1549" s="19">
        <f>[1]TOBEPAID!M1191/1000</f>
        <v>0</v>
      </c>
      <c r="N1549" s="19">
        <f>[1]TOBEPAID!N1191/1000</f>
        <v>0</v>
      </c>
      <c r="O1549" s="19">
        <f>[1]TOBEPAID!O1191/1000</f>
        <v>0</v>
      </c>
      <c r="P1549" s="19">
        <f>[1]TOBEPAID!P1191/1000</f>
        <v>0</v>
      </c>
      <c r="Q1549" s="19">
        <f>[1]TOBEPAID!Q1191/1000</f>
        <v>0</v>
      </c>
      <c r="R1549" s="19">
        <v>0</v>
      </c>
      <c r="S1549" s="19">
        <f>[1]TOBEPAID!S1191/1000</f>
        <v>0</v>
      </c>
      <c r="T1549" s="19">
        <f>[1]TOBEPAID!T1191/1000</f>
        <v>0</v>
      </c>
      <c r="U1549" s="19">
        <f>[1]TOBEPAID!U1191/1000</f>
        <v>0</v>
      </c>
      <c r="V1549" s="19">
        <f>[1]TOBEPAID!V1191/1000</f>
        <v>0</v>
      </c>
      <c r="W1549" s="19">
        <f>[1]TOBEPAID!W1191/1000</f>
        <v>0</v>
      </c>
      <c r="X1549" s="19">
        <f>[1]TOBEPAID!X1191/1000</f>
        <v>0</v>
      </c>
      <c r="Y1549" s="19">
        <f t="shared" si="292"/>
        <v>0</v>
      </c>
      <c r="Z1549" s="19">
        <f t="shared" si="295"/>
        <v>182.40899999999999</v>
      </c>
      <c r="AA1549" s="7">
        <f>BB88+BB141+BB243+BB407+BB559+BB689+BB801+BB917+BB1033+BB1091+BB1163+BB1236+BB1326+BB1370+BB1417</f>
        <v>0</v>
      </c>
      <c r="AB1549" s="7">
        <f t="shared" si="294"/>
        <v>182.40899999999999</v>
      </c>
      <c r="AC1549" s="7"/>
      <c r="AD1549" s="7"/>
    </row>
    <row r="1550" spans="1:30" x14ac:dyDescent="0.2">
      <c r="B1550" s="3" t="s">
        <v>418</v>
      </c>
      <c r="D1550" s="19">
        <f>1336228973.74/1000</f>
        <v>1336228.97374</v>
      </c>
      <c r="E1550" s="19" t="e">
        <f>AG95+AG162+#REF!+AG451+AG615+AG750+AG884+AG990+AG1105+AG1166+AG1270+AG1357+AG1418+AG1458+AG1517</f>
        <v>#REF!</v>
      </c>
      <c r="F1550" s="19" t="e">
        <f>AH95+AH162+#REF!+AH451+AH615+AH750+AH884+AH990+AH1105+AH1166+AH1270+AH1357+AH1418+AH1458+AH1517</f>
        <v>#REF!</v>
      </c>
      <c r="G1550" s="19"/>
      <c r="H1550" s="19">
        <f>1336161317.62/1000</f>
        <v>1336161.3176199999</v>
      </c>
      <c r="I1550" s="19">
        <f>[1]TOBEPAID!I1192/1000</f>
        <v>0</v>
      </c>
      <c r="J1550" s="19">
        <f>[1]TOBEPAID!J1192/1000</f>
        <v>0</v>
      </c>
      <c r="K1550" s="19">
        <f>[1]TOBEPAID!K1192/1000</f>
        <v>0</v>
      </c>
      <c r="L1550" s="19">
        <f>[1]TOBEPAID!L1192/1000</f>
        <v>0</v>
      </c>
      <c r="M1550" s="19">
        <f>[1]TOBEPAID!M1192/1000</f>
        <v>0</v>
      </c>
      <c r="N1550" s="19">
        <f>[1]TOBEPAID!N1192/1000</f>
        <v>170174.19977599999</v>
      </c>
      <c r="O1550" s="19">
        <f>[1]TOBEPAID!O1192/1000</f>
        <v>0</v>
      </c>
      <c r="P1550" s="19">
        <f>[1]TOBEPAID!P1192/1000</f>
        <v>0</v>
      </c>
      <c r="Q1550" s="19">
        <f>[1]TOBEPAID!Q1192/1000</f>
        <v>0</v>
      </c>
      <c r="R1550" s="19">
        <v>0</v>
      </c>
      <c r="S1550" s="19">
        <f>[1]TOBEPAID!S1192/1000</f>
        <v>0</v>
      </c>
      <c r="T1550" s="19">
        <f>[1]TOBEPAID!T1192/1000</f>
        <v>0</v>
      </c>
      <c r="U1550" s="19">
        <f>[1]TOBEPAID!U1192/1000</f>
        <v>0</v>
      </c>
      <c r="V1550" s="19">
        <f>[1]TOBEPAID!V1192/1000</f>
        <v>0</v>
      </c>
      <c r="W1550" s="19">
        <f>[1]TOBEPAID!W1192/1000</f>
        <v>0</v>
      </c>
      <c r="X1550" s="19">
        <f>[1]TOBEPAID!X1192/1000</f>
        <v>0</v>
      </c>
      <c r="Y1550" s="19">
        <f t="shared" si="292"/>
        <v>1336161.3176199999</v>
      </c>
      <c r="Z1550" s="19">
        <f t="shared" si="295"/>
        <v>67.656120000174269</v>
      </c>
      <c r="AA1550" s="7">
        <f>BB88+BB141+BB243+BB407+BB559+BB689+BB801+BB917+BB1033+BB1091+BB1163+BB1236+BB1326+BB1370+BB1417</f>
        <v>0</v>
      </c>
      <c r="AB1550" s="7">
        <f t="shared" si="294"/>
        <v>1166054.7739639999</v>
      </c>
      <c r="AC1550" s="7"/>
      <c r="AD1550" s="7"/>
    </row>
    <row r="1551" spans="1:30" x14ac:dyDescent="0.2">
      <c r="B1551" s="3" t="s">
        <v>271</v>
      </c>
      <c r="D1551" s="19">
        <f>66552000/1000</f>
        <v>66552</v>
      </c>
      <c r="E1551" s="19"/>
      <c r="F1551" s="19"/>
      <c r="G1551" s="19"/>
      <c r="H1551" s="19">
        <f>66552000/1000</f>
        <v>66552</v>
      </c>
      <c r="I1551" s="19"/>
      <c r="J1551" s="19"/>
      <c r="K1551" s="19"/>
      <c r="L1551" s="19"/>
      <c r="M1551" s="19"/>
      <c r="N1551" s="19"/>
      <c r="O1551" s="19"/>
      <c r="P1551" s="19"/>
      <c r="Q1551" s="19"/>
      <c r="R1551" s="19">
        <v>0</v>
      </c>
      <c r="S1551" s="19"/>
      <c r="T1551" s="19"/>
      <c r="U1551" s="19"/>
      <c r="V1551" s="19"/>
      <c r="W1551" s="19"/>
      <c r="X1551" s="19"/>
      <c r="Y1551" s="19">
        <f>+H1551+R1551</f>
        <v>66552</v>
      </c>
      <c r="Z1551" s="19">
        <f t="shared" si="295"/>
        <v>0</v>
      </c>
      <c r="AA1551" s="7"/>
      <c r="AB1551" s="7"/>
      <c r="AC1551" s="7"/>
      <c r="AD1551" s="7"/>
    </row>
    <row r="1552" spans="1:30" x14ac:dyDescent="0.2">
      <c r="A1552" s="18"/>
      <c r="B1552" s="3" t="s">
        <v>353</v>
      </c>
      <c r="D1552" s="19">
        <f>5310463977.8/1000</f>
        <v>5310463.9778000005</v>
      </c>
      <c r="E1552" s="19" t="e">
        <f>AG96+AG163+AG267+AG452+AG616+AG751+AG885+AG991+AG1106+AG1167+AG1271+AG1358+AG1419+AG1459+AG1518</f>
        <v>#REF!</v>
      </c>
      <c r="F1552" s="19" t="e">
        <f>AH96+AH163+AH267+AH452+AH616+AH751+AH885+AH991+AH1106+AH1167+AH1271+AH1358+AH1419+AH1459+AH1518</f>
        <v>#REF!</v>
      </c>
      <c r="G1552" s="19"/>
      <c r="H1552" s="19">
        <f>2028658893.37/1000</f>
        <v>2028658.8933699999</v>
      </c>
      <c r="I1552" s="19">
        <f>[1]TOBEPAID!I1193/1000</f>
        <v>5843.7300300000006</v>
      </c>
      <c r="J1552" s="19">
        <f>[1]TOBEPAID!J1193/1000</f>
        <v>835.22230000000002</v>
      </c>
      <c r="K1552" s="19">
        <f>[1]TOBEPAID!K1193/1000</f>
        <v>0</v>
      </c>
      <c r="L1552" s="19">
        <f>[1]TOBEPAID!L1193/1000</f>
        <v>0</v>
      </c>
      <c r="M1552" s="19">
        <f>[1]TOBEPAID!M1193/1000</f>
        <v>0</v>
      </c>
      <c r="N1552" s="19">
        <f>[1]TOBEPAID!N1193/1000</f>
        <v>4500</v>
      </c>
      <c r="O1552" s="19">
        <f>[1]TOBEPAID!O1193/1000</f>
        <v>1523.7322199999999</v>
      </c>
      <c r="P1552" s="19">
        <f>[1]TOBEPAID!P1193/1000</f>
        <v>0</v>
      </c>
      <c r="Q1552" s="19">
        <f>[1]TOBEPAID!Q1193/1000</f>
        <v>0</v>
      </c>
      <c r="R1552" s="19">
        <f>5365151/1000</f>
        <v>5365.1509999999998</v>
      </c>
      <c r="S1552" s="19">
        <f>[1]TOBEPAID!S1193/1000</f>
        <v>0</v>
      </c>
      <c r="T1552" s="19">
        <f>[1]TOBEPAID!T1193/1000</f>
        <v>0</v>
      </c>
      <c r="U1552" s="19">
        <f>[1]TOBEPAID!U1193/1000</f>
        <v>0</v>
      </c>
      <c r="V1552" s="19">
        <f>[1]TOBEPAID!V1193/1000</f>
        <v>0</v>
      </c>
      <c r="W1552" s="19">
        <f>[1]TOBEPAID!W1193/1000</f>
        <v>0</v>
      </c>
      <c r="X1552" s="19">
        <f>[1]TOBEPAID!X1193/1000</f>
        <v>1523.7322199999999</v>
      </c>
      <c r="Y1552" s="19">
        <f>+H1552+R1552</f>
        <v>2034024.04437</v>
      </c>
      <c r="Z1552" s="19">
        <f t="shared" si="295"/>
        <v>3276439.9334300002</v>
      </c>
      <c r="AA1552" s="7" t="e">
        <f>BB89+BB142+BB244+BB408+BB560+BB691+BB802+BB918+BB1034+BB1092+BB1164+BB1237+BB1327+BB1371+#REF!</f>
        <v>#REF!</v>
      </c>
      <c r="AB1552" s="7">
        <f>+D1552-N1552-X1552</f>
        <v>5304440.2455800008</v>
      </c>
      <c r="AC1552" s="7"/>
      <c r="AD1552" s="7"/>
    </row>
    <row r="1553" spans="1:51" ht="15.75" customHeight="1" x14ac:dyDescent="0.2">
      <c r="A1553" s="18"/>
      <c r="B1553" s="3" t="s">
        <v>246</v>
      </c>
      <c r="D1553" s="19">
        <f>273038344.86/1000</f>
        <v>273038.34486000001</v>
      </c>
      <c r="E1553" s="19"/>
      <c r="F1553" s="19"/>
      <c r="G1553" s="19"/>
      <c r="H1553" s="19">
        <f>258031961.17/1000</f>
        <v>258031.96117</v>
      </c>
      <c r="I1553" s="19"/>
      <c r="J1553" s="19"/>
      <c r="K1553" s="19"/>
      <c r="L1553" s="19"/>
      <c r="M1553" s="19"/>
      <c r="N1553" s="19"/>
      <c r="O1553" s="19"/>
      <c r="P1553" s="19"/>
      <c r="Q1553" s="19"/>
      <c r="R1553" s="19">
        <f>284360.2/1000</f>
        <v>284.36020000000002</v>
      </c>
      <c r="S1553" s="19"/>
      <c r="T1553" s="19"/>
      <c r="U1553" s="19"/>
      <c r="V1553" s="19"/>
      <c r="W1553" s="19"/>
      <c r="X1553" s="19"/>
      <c r="Y1553" s="19">
        <f>+H1553+R1553</f>
        <v>258316.32136999999</v>
      </c>
      <c r="Z1553" s="19">
        <f t="shared" si="295"/>
        <v>14722.023490000021</v>
      </c>
      <c r="AA1553" s="7"/>
      <c r="AB1553" s="7"/>
      <c r="AC1553" s="7"/>
      <c r="AD1553" s="7"/>
    </row>
    <row r="1554" spans="1:51" ht="15.75" customHeight="1" x14ac:dyDescent="0.2">
      <c r="A1554" s="18"/>
      <c r="B1554" s="3" t="s">
        <v>78</v>
      </c>
      <c r="D1554" s="19">
        <f>86804858/1000</f>
        <v>86804.857999999993</v>
      </c>
      <c r="E1554" s="19" t="e">
        <f>#REF!+AG164+AG268+AG453+AG617+AG752+AG886+AG992+AG1107+AG1172+AG1272+AG1359+AG1420+AG1461+AG1519</f>
        <v>#REF!</v>
      </c>
      <c r="F1554" s="19" t="e">
        <f>#REF!+AH164+AH268+AH453+AH617+AH752+AH886+AH992+AH1107+AH1172+AH1272+AH1359+AH1420+AH1461+AH1519</f>
        <v>#REF!</v>
      </c>
      <c r="G1554" s="19"/>
      <c r="H1554" s="19">
        <f>86804858/1000</f>
        <v>86804.857999999993</v>
      </c>
      <c r="I1554" s="19">
        <f>[1]TOBEPAID!I1194/1000</f>
        <v>36131</v>
      </c>
      <c r="J1554" s="19">
        <f>[1]TOBEPAID!J1194/1000</f>
        <v>0</v>
      </c>
      <c r="K1554" s="19">
        <f>[1]TOBEPAID!K1194/1000</f>
        <v>0</v>
      </c>
      <c r="L1554" s="19">
        <f>[1]TOBEPAID!L1194/1000</f>
        <v>0</v>
      </c>
      <c r="M1554" s="19">
        <f>[1]TOBEPAID!M1194/1000</f>
        <v>0</v>
      </c>
      <c r="N1554" s="19">
        <f>[1]TOBEPAID!N1194/1000</f>
        <v>69437.081200000001</v>
      </c>
      <c r="O1554" s="19">
        <f>[1]TOBEPAID!O1194/1000</f>
        <v>0</v>
      </c>
      <c r="P1554" s="19">
        <f>[1]TOBEPAID!P1194/1000</f>
        <v>0</v>
      </c>
      <c r="Q1554" s="19">
        <f>[1]TOBEPAID!Q1194/1000</f>
        <v>0</v>
      </c>
      <c r="R1554" s="19">
        <v>0</v>
      </c>
      <c r="S1554" s="19">
        <f>[1]TOBEPAID!S1194/1000</f>
        <v>0</v>
      </c>
      <c r="T1554" s="19">
        <f>[1]TOBEPAID!T1194/1000</f>
        <v>0</v>
      </c>
      <c r="U1554" s="19">
        <f>[1]TOBEPAID!U1194/1000</f>
        <v>0</v>
      </c>
      <c r="V1554" s="19">
        <f>[1]TOBEPAID!V1194/1000</f>
        <v>0</v>
      </c>
      <c r="W1554" s="19">
        <f>[1]TOBEPAID!W1194/1000</f>
        <v>0</v>
      </c>
      <c r="X1554" s="19">
        <f>[1]TOBEPAID!X1194/1000</f>
        <v>0</v>
      </c>
      <c r="Y1554" s="19">
        <f t="shared" si="292"/>
        <v>86804.857999999993</v>
      </c>
      <c r="Z1554" s="19">
        <f t="shared" si="295"/>
        <v>0</v>
      </c>
      <c r="AA1554" s="7" t="e">
        <f>BB91+BB144+BB245+BB410+BB561+BB692+BB804+BB919+BB1035+BB1093+BB1165+BB1238+BB1329+BB1372+#REF!</f>
        <v>#REF!</v>
      </c>
      <c r="AB1554" s="7">
        <f>+D1554-N1554-X1554</f>
        <v>17367.776799999992</v>
      </c>
      <c r="AC1554" s="7"/>
      <c r="AD1554" s="7"/>
    </row>
    <row r="1555" spans="1:51" ht="15.75" customHeight="1" x14ac:dyDescent="0.2">
      <c r="A1555" s="18"/>
      <c r="B1555" s="17" t="s">
        <v>419</v>
      </c>
      <c r="D1555" s="19">
        <f>3478605.49/1000</f>
        <v>3478.6054900000004</v>
      </c>
      <c r="E1555" s="19">
        <f>AG97+AG165+AG269+AG454+AG618+AG753+AG887+AG993+AG1108+AG1173+AG1273+AG1360+AG1421+AG1462+AG1520</f>
        <v>0</v>
      </c>
      <c r="F1555" s="19">
        <f>AH97+AH165+AH269+AH454+AH618+AH753+AH887+AH993+AH1108+AH1173+AH1273+AH1360+AH1421+AH1462+AH1520</f>
        <v>0</v>
      </c>
      <c r="G1555" s="19"/>
      <c r="H1555" s="19">
        <v>0</v>
      </c>
      <c r="I1555" s="19">
        <f>[1]TOBEPAID!I1195/1000</f>
        <v>0</v>
      </c>
      <c r="J1555" s="19">
        <f>[1]TOBEPAID!J1195/1000</f>
        <v>0</v>
      </c>
      <c r="K1555" s="19">
        <f>[1]TOBEPAID!K1195/1000</f>
        <v>0</v>
      </c>
      <c r="L1555" s="19">
        <f>[1]TOBEPAID!L1195/1000</f>
        <v>0</v>
      </c>
      <c r="M1555" s="19">
        <f>[1]TOBEPAID!M1195/1000</f>
        <v>0</v>
      </c>
      <c r="N1555" s="19">
        <f>[1]TOBEPAID!N1195/1000</f>
        <v>0</v>
      </c>
      <c r="O1555" s="19">
        <f>[1]TOBEPAID!O1195/1000</f>
        <v>0</v>
      </c>
      <c r="P1555" s="19">
        <f>[1]TOBEPAID!P1195/1000</f>
        <v>0</v>
      </c>
      <c r="Q1555" s="19">
        <f>[1]TOBEPAID!Q1195/1000</f>
        <v>0</v>
      </c>
      <c r="R1555" s="19">
        <v>0</v>
      </c>
      <c r="S1555" s="19">
        <f>[1]TOBEPAID!S1195/1000</f>
        <v>0</v>
      </c>
      <c r="T1555" s="19">
        <f>[1]TOBEPAID!T1195/1000</f>
        <v>0</v>
      </c>
      <c r="U1555" s="19">
        <f>[1]TOBEPAID!U1195/1000</f>
        <v>0</v>
      </c>
      <c r="V1555" s="19">
        <f>[1]TOBEPAID!V1195/1000</f>
        <v>0</v>
      </c>
      <c r="W1555" s="19">
        <f>[1]TOBEPAID!W1195/1000</f>
        <v>0</v>
      </c>
      <c r="X1555" s="19">
        <f>[1]TOBEPAID!X1195/1000</f>
        <v>0</v>
      </c>
      <c r="Y1555" s="19">
        <f>+H1555+R1555</f>
        <v>0</v>
      </c>
      <c r="Z1555" s="19">
        <f t="shared" si="295"/>
        <v>3478.6054900000004</v>
      </c>
      <c r="AA1555" s="7" t="e">
        <f>BB89+BB142+BB244+BB408+BB560+BB691+BB802+BB918+BB1034+BB1092+BB1164+BB1237+BB1327+BB1371+#REF!</f>
        <v>#REF!</v>
      </c>
      <c r="AB1555" s="7">
        <f>+D1555-N1555-X1555</f>
        <v>3478.6054900000004</v>
      </c>
      <c r="AC1555" s="7"/>
      <c r="AD1555" s="7"/>
    </row>
    <row r="1556" spans="1:51" ht="15.75" customHeight="1" x14ac:dyDescent="0.2">
      <c r="A1556" s="18"/>
      <c r="B1556" s="17" t="s">
        <v>55</v>
      </c>
      <c r="D1556" s="19">
        <f>56056593.41/1000</f>
        <v>56056.593409999994</v>
      </c>
      <c r="E1556" s="19">
        <f>AG98+AG166+AG270+AG455+AG619+AG754+AG888+AG995+AG1109+AG1174+AG1274+AG1361+AG1422+AG1463+AG1521</f>
        <v>0</v>
      </c>
      <c r="F1556" s="19">
        <f>AH98+AH166+AH270+AH455+AH619+AH754+AH888+AH995+AH1109+AH1174+AH1274+AH1361+AH1422+AH1463+AH1521</f>
        <v>0</v>
      </c>
      <c r="G1556" s="19"/>
      <c r="H1556" s="19">
        <f>1260000/1000</f>
        <v>1260</v>
      </c>
      <c r="I1556" s="19">
        <f>[1]TOBEPAID!I1196/1000</f>
        <v>0</v>
      </c>
      <c r="J1556" s="19">
        <f>[1]TOBEPAID!J1196/1000</f>
        <v>14468.645159999998</v>
      </c>
      <c r="K1556" s="19">
        <f>[1]TOBEPAID!K1196/1000</f>
        <v>0</v>
      </c>
      <c r="L1556" s="19">
        <f>[1]TOBEPAID!L1196/1000</f>
        <v>0</v>
      </c>
      <c r="M1556" s="19">
        <f>[1]TOBEPAID!M1196/1000</f>
        <v>0</v>
      </c>
      <c r="N1556" s="19">
        <f>[1]TOBEPAID!N1196/1000</f>
        <v>0</v>
      </c>
      <c r="O1556" s="19">
        <f>[1]TOBEPAID!O1196/1000</f>
        <v>14468.645159999998</v>
      </c>
      <c r="P1556" s="19">
        <f>[1]TOBEPAID!P1196/1000</f>
        <v>0</v>
      </c>
      <c r="Q1556" s="19">
        <f>[1]TOBEPAID!Q1196/1000</f>
        <v>0</v>
      </c>
      <c r="R1556" s="19">
        <f>14805135.9/1000</f>
        <v>14805.135900000001</v>
      </c>
      <c r="S1556" s="19">
        <f>[1]TOBEPAID!S1196/1000</f>
        <v>0</v>
      </c>
      <c r="T1556" s="19">
        <f>[1]TOBEPAID!T1196/1000</f>
        <v>0</v>
      </c>
      <c r="U1556" s="19">
        <f>[1]TOBEPAID!U1196/1000</f>
        <v>0</v>
      </c>
      <c r="V1556" s="19">
        <f>[1]TOBEPAID!V1196/1000</f>
        <v>0</v>
      </c>
      <c r="W1556" s="19">
        <f>[1]TOBEPAID!W1196/1000</f>
        <v>0</v>
      </c>
      <c r="X1556" s="19">
        <f>[1]TOBEPAID!X1196/1000</f>
        <v>14468.645159999998</v>
      </c>
      <c r="Y1556" s="19">
        <f t="shared" si="292"/>
        <v>16065.135900000001</v>
      </c>
      <c r="Z1556" s="19">
        <f t="shared" si="295"/>
        <v>39991.457509999993</v>
      </c>
      <c r="AA1556" s="7" t="e">
        <f>BB91+BB144+BB245+BB410+BB561+BB692+BB804+BB919+BB1035+BB1093+BB1165+BB1238+BB1329+BB1372+#REF!</f>
        <v>#REF!</v>
      </c>
      <c r="AB1556" s="7">
        <f>+D1556-N1556-X1556</f>
        <v>41587.948249999994</v>
      </c>
      <c r="AC1556" s="7"/>
      <c r="AD1556" s="7"/>
    </row>
    <row r="1557" spans="1:51" ht="15.75" customHeight="1" x14ac:dyDescent="0.2">
      <c r="A1557" s="18"/>
      <c r="B1557" s="20" t="s">
        <v>98</v>
      </c>
      <c r="D1557" s="19">
        <f>8661324/1000</f>
        <v>8661.3240000000005</v>
      </c>
      <c r="E1557" s="19">
        <f>AG99+AG167+AG271+AG456+AG620+AG755+AG891+AG1000+AG1110+AG1175+AG1275+AG1364+AG1423+AG1466+AG1522</f>
        <v>0</v>
      </c>
      <c r="F1557" s="19">
        <f>AH99+AH167+AH271+AH456+AH620+AH755+AH891+AH1000+AH1110+AH1175+AH1275+AH1364+AH1423+AH1466+AH1522</f>
        <v>0</v>
      </c>
      <c r="G1557" s="19"/>
      <c r="H1557" s="19">
        <f>[1]TOBEPAID!H1197/1000</f>
        <v>8406.1239999999998</v>
      </c>
      <c r="I1557" s="19">
        <f>[1]TOBEPAID!I1197/1000</f>
        <v>8406.1239999999998</v>
      </c>
      <c r="J1557" s="19">
        <f>[1]TOBEPAID!J1197/1000</f>
        <v>0</v>
      </c>
      <c r="K1557" s="19">
        <f>[1]TOBEPAID!K1197/1000</f>
        <v>0</v>
      </c>
      <c r="L1557" s="19">
        <f>[1]TOBEPAID!L1197/1000</f>
        <v>0</v>
      </c>
      <c r="M1557" s="19">
        <f>[1]TOBEPAID!M1197/1000</f>
        <v>0</v>
      </c>
      <c r="N1557" s="19">
        <f>[1]TOBEPAID!N1197/1000</f>
        <v>8406.1239999999998</v>
      </c>
      <c r="O1557" s="19">
        <f>[1]TOBEPAID!O1197/1000</f>
        <v>0</v>
      </c>
      <c r="P1557" s="19">
        <f>[1]TOBEPAID!P1197/1000</f>
        <v>0</v>
      </c>
      <c r="Q1557" s="19">
        <f>[1]TOBEPAID!Q1197/1000</f>
        <v>0</v>
      </c>
      <c r="R1557" s="19">
        <v>0</v>
      </c>
      <c r="S1557" s="19">
        <f>[1]TOBEPAID!S1197/1000</f>
        <v>0</v>
      </c>
      <c r="T1557" s="19">
        <f>[1]TOBEPAID!T1197/1000</f>
        <v>0</v>
      </c>
      <c r="U1557" s="19">
        <f>[1]TOBEPAID!U1197/1000</f>
        <v>0</v>
      </c>
      <c r="V1557" s="19">
        <f>[1]TOBEPAID!V1197/1000</f>
        <v>0</v>
      </c>
      <c r="W1557" s="19">
        <f>[1]TOBEPAID!W1197/1000</f>
        <v>0</v>
      </c>
      <c r="X1557" s="19">
        <f>[1]TOBEPAID!X1197/1000</f>
        <v>0</v>
      </c>
      <c r="Y1557" s="19">
        <f t="shared" si="292"/>
        <v>8406.1239999999998</v>
      </c>
      <c r="Z1557" s="19">
        <f t="shared" si="295"/>
        <v>255.20000000000073</v>
      </c>
      <c r="AA1557" s="7">
        <f>BB92+BB145+BB246+BB411+BB562+BB693+BB805+BB921+BB1036+BB1094+BB1166+BB1239+BB1331+BB1375+BB1418</f>
        <v>0</v>
      </c>
      <c r="AB1557" s="7">
        <f>+D1557-N1557-X1557</f>
        <v>255.20000000000073</v>
      </c>
      <c r="AC1557" s="7"/>
      <c r="AD1557" s="7"/>
    </row>
    <row r="1558" spans="1:51" ht="15.75" customHeight="1" x14ac:dyDescent="0.2">
      <c r="A1558" s="18"/>
      <c r="B1558" s="3" t="s">
        <v>420</v>
      </c>
      <c r="D1558" s="19">
        <f>23808607429.3/1000</f>
        <v>23808607.429299999</v>
      </c>
      <c r="E1558" s="19">
        <f>AG100+AG171+AG274+AG457+AG621+AG756+AG892+AG1001+AG1111+AG1176+AG1283+AG1365+AG1427+AG1467+AG1523</f>
        <v>0</v>
      </c>
      <c r="F1558" s="19">
        <f>AH100+AH171+AH274+AH457+AH621+AH756+AH892+AH1001+AH1111+AH1176+AH1283+AH1365+AH1427+AH1467+AH1523</f>
        <v>0</v>
      </c>
      <c r="G1558" s="19"/>
      <c r="H1558" s="19">
        <f>23808607429.3/1000</f>
        <v>23808607.429299999</v>
      </c>
      <c r="I1558" s="19">
        <f>[1]TOBEPAID!I1198/1000</f>
        <v>147429.39563999997</v>
      </c>
      <c r="J1558" s="19">
        <f>[1]TOBEPAID!J1198/1000</f>
        <v>62839.227089999993</v>
      </c>
      <c r="K1558" s="19">
        <f>[1]TOBEPAID!K1198/1000</f>
        <v>0</v>
      </c>
      <c r="L1558" s="19">
        <f>[1]TOBEPAID!L1198/1000</f>
        <v>0</v>
      </c>
      <c r="M1558" s="19">
        <f>[1]TOBEPAID!M1198/1000</f>
        <v>0</v>
      </c>
      <c r="N1558" s="19">
        <f>[1]TOBEPAID!N1198/1000</f>
        <v>2378645.59063</v>
      </c>
      <c r="O1558" s="19">
        <f>[1]TOBEPAID!O1198/1000</f>
        <v>0</v>
      </c>
      <c r="P1558" s="19">
        <f>[1]TOBEPAID!P1198/1000</f>
        <v>0</v>
      </c>
      <c r="Q1558" s="19">
        <f>[1]TOBEPAID!Q1198/1000</f>
        <v>0</v>
      </c>
      <c r="R1558" s="19">
        <v>0</v>
      </c>
      <c r="S1558" s="19">
        <f>[1]TOBEPAID!S1198/1000</f>
        <v>0</v>
      </c>
      <c r="T1558" s="19">
        <f>[1]TOBEPAID!T1198/1000</f>
        <v>0</v>
      </c>
      <c r="U1558" s="19">
        <f>[1]TOBEPAID!U1198/1000</f>
        <v>0</v>
      </c>
      <c r="V1558" s="19">
        <f>[1]TOBEPAID!V1198/1000</f>
        <v>0</v>
      </c>
      <c r="W1558" s="19">
        <f>[1]TOBEPAID!W1198/1000</f>
        <v>0</v>
      </c>
      <c r="X1558" s="19">
        <f>[1]TOBEPAID!X1198/1000</f>
        <v>0</v>
      </c>
      <c r="Y1558" s="19">
        <f t="shared" si="292"/>
        <v>23808607.429299999</v>
      </c>
      <c r="Z1558" s="19">
        <f t="shared" si="295"/>
        <v>0</v>
      </c>
      <c r="AA1558" s="7">
        <f>BB93+BB147+BB247+BB412+BB563+BB694+BB808+BB922+BB1037+BB1097+BB1167+BB1240+BB1333+BB1376+BB1419</f>
        <v>0</v>
      </c>
      <c r="AB1558" s="7">
        <f>+D1558-N1558-X1558</f>
        <v>21429961.83867</v>
      </c>
      <c r="AC1558" s="7"/>
      <c r="AD1558" s="7"/>
      <c r="AE1558" s="19"/>
    </row>
    <row r="1559" spans="1:51" ht="15.75" customHeight="1" x14ac:dyDescent="0.2">
      <c r="A1559" s="18"/>
      <c r="B1559" s="3" t="s">
        <v>112</v>
      </c>
      <c r="D1559" s="19">
        <f>2545462055.86/1000</f>
        <v>2545462.0558600002</v>
      </c>
      <c r="E1559" s="19"/>
      <c r="F1559" s="19"/>
      <c r="G1559" s="19"/>
      <c r="H1559" s="19">
        <f>2545462055.86/1000</f>
        <v>2545462.0558600002</v>
      </c>
      <c r="I1559" s="19"/>
      <c r="J1559" s="19"/>
      <c r="K1559" s="19"/>
      <c r="L1559" s="19"/>
      <c r="M1559" s="19"/>
      <c r="N1559" s="19"/>
      <c r="O1559" s="19"/>
      <c r="P1559" s="19"/>
      <c r="Q1559" s="19"/>
      <c r="R1559" s="19">
        <v>0</v>
      </c>
      <c r="S1559" s="19"/>
      <c r="T1559" s="19"/>
      <c r="U1559" s="19"/>
      <c r="V1559" s="19"/>
      <c r="W1559" s="19"/>
      <c r="X1559" s="19"/>
      <c r="Y1559" s="19">
        <f t="shared" si="292"/>
        <v>2545462.0558600002</v>
      </c>
      <c r="Z1559" s="19">
        <f t="shared" si="295"/>
        <v>0</v>
      </c>
      <c r="AA1559" s="7"/>
      <c r="AB1559" s="7"/>
      <c r="AC1559" s="7"/>
      <c r="AD1559" s="7"/>
      <c r="AE1559" s="19"/>
    </row>
    <row r="1560" spans="1:51" ht="15.75" customHeight="1" x14ac:dyDescent="0.2">
      <c r="A1560" s="18"/>
      <c r="B1560" s="3" t="s">
        <v>101</v>
      </c>
      <c r="D1560" s="19">
        <f>1325000/1000</f>
        <v>1325</v>
      </c>
      <c r="E1560" s="19">
        <f>AG101+AG172+AG280+AG458+AG622+AG757+AG893+AG1002+AG1113+AG1177+AG1284+AG1366+AG1428+AG1468+AG1524</f>
        <v>0</v>
      </c>
      <c r="F1560" s="19">
        <f>AH101+AH172+AH280+AH458+AH622+AH757+AH893+AH1002+AH1113+AH1177+AH1284+AH1366+AH1428+AH1468+AH1524</f>
        <v>0</v>
      </c>
      <c r="G1560" s="19"/>
      <c r="H1560" s="19">
        <v>0</v>
      </c>
      <c r="I1560" s="19">
        <f>[1]TOBEPAID!I1199/1000</f>
        <v>0</v>
      </c>
      <c r="J1560" s="19">
        <f>[1]TOBEPAID!J1199/1000</f>
        <v>0</v>
      </c>
      <c r="K1560" s="19">
        <f>[1]TOBEPAID!K1199/1000</f>
        <v>0</v>
      </c>
      <c r="L1560" s="19">
        <f>[1]TOBEPAID!L1199/1000</f>
        <v>0</v>
      </c>
      <c r="M1560" s="19">
        <f>[1]TOBEPAID!M1199/1000</f>
        <v>0</v>
      </c>
      <c r="N1560" s="19">
        <f>[1]TOBEPAID!N1199/1000</f>
        <v>0</v>
      </c>
      <c r="O1560" s="19">
        <f>[1]TOBEPAID!O1199/1000</f>
        <v>0</v>
      </c>
      <c r="P1560" s="19">
        <f>[1]TOBEPAID!P1199/1000</f>
        <v>0</v>
      </c>
      <c r="Q1560" s="19">
        <f>[1]TOBEPAID!Q1199/1000</f>
        <v>0</v>
      </c>
      <c r="R1560" s="19">
        <v>0</v>
      </c>
      <c r="S1560" s="19">
        <f>[1]TOBEPAID!S1199/1000</f>
        <v>0</v>
      </c>
      <c r="T1560" s="19">
        <f>[1]TOBEPAID!T1199/1000</f>
        <v>0</v>
      </c>
      <c r="U1560" s="19">
        <f>[1]TOBEPAID!U1199/1000</f>
        <v>0</v>
      </c>
      <c r="V1560" s="19">
        <f>[1]TOBEPAID!V1199/1000</f>
        <v>0</v>
      </c>
      <c r="W1560" s="19">
        <f>[1]TOBEPAID!W1199/1000</f>
        <v>0</v>
      </c>
      <c r="X1560" s="19">
        <f>[1]TOBEPAID!X1199/1000</f>
        <v>0</v>
      </c>
      <c r="Y1560" s="19">
        <f t="shared" si="292"/>
        <v>0</v>
      </c>
      <c r="Z1560" s="19">
        <f t="shared" si="295"/>
        <v>1325</v>
      </c>
      <c r="AA1560" s="7">
        <f>BB93+BB147+BB247+BB412+BB563+BB694+BB808+BB922+BB1037+BB1097+BB1167+BB1240+BB1333+BB1376+BB1419</f>
        <v>0</v>
      </c>
      <c r="AB1560" s="7">
        <f t="shared" ref="AB1560:AB1572" si="296">+D1560-N1560-X1560</f>
        <v>1325</v>
      </c>
      <c r="AC1560" s="7"/>
      <c r="AD1560" s="7"/>
    </row>
    <row r="1561" spans="1:51" ht="15.75" customHeight="1" x14ac:dyDescent="0.2">
      <c r="A1561" s="18"/>
      <c r="B1561" s="17" t="s">
        <v>421</v>
      </c>
      <c r="D1561" s="19">
        <f>53948312.26/1000</f>
        <v>53948.312259999999</v>
      </c>
      <c r="E1561" s="19">
        <f>AG102+AG173+AG283+AG460+AG623+AG758+AG894+AG1003+AG1114+AG1183+AG1285+AG1367+AG1429+AG1469+AG1525</f>
        <v>0</v>
      </c>
      <c r="F1561" s="19">
        <f>AH102+AH173+AH283+AH460+AH623+AH758+AH894+AH1003+AH1114+AH1183+AH1285+AH1367+AH1429+AH1469+AH1525</f>
        <v>0</v>
      </c>
      <c r="G1561" s="19"/>
      <c r="H1561" s="19">
        <f>43280837/1000</f>
        <v>43280.837</v>
      </c>
      <c r="I1561" s="19">
        <f>[1]TOBEPAID!I1200/1000</f>
        <v>43280.837399999997</v>
      </c>
      <c r="J1561" s="19">
        <f>[1]TOBEPAID!J1200/1000</f>
        <v>3340.8892000000001</v>
      </c>
      <c r="K1561" s="19">
        <f>[1]TOBEPAID!K1200/1000</f>
        <v>0</v>
      </c>
      <c r="L1561" s="19">
        <f>[1]TOBEPAID!L1200/1000</f>
        <v>0</v>
      </c>
      <c r="M1561" s="19">
        <f>[1]TOBEPAID!M1200/1000</f>
        <v>0</v>
      </c>
      <c r="N1561" s="19">
        <f>[1]TOBEPAID!N1200/1000</f>
        <v>43280.837399999997</v>
      </c>
      <c r="O1561" s="19">
        <f>[1]TOBEPAID!O1200/1000</f>
        <v>3340.8892000000001</v>
      </c>
      <c r="P1561" s="19">
        <f>[1]TOBEPAID!P1200/1000</f>
        <v>0</v>
      </c>
      <c r="Q1561" s="19">
        <f>[1]TOBEPAID!Q1200/1000</f>
        <v>0</v>
      </c>
      <c r="R1561" s="19">
        <f>3340889.2/1000</f>
        <v>3340.8892000000001</v>
      </c>
      <c r="S1561" s="19">
        <f>[1]TOBEPAID!S1200/1000</f>
        <v>0</v>
      </c>
      <c r="T1561" s="19">
        <f>[1]TOBEPAID!T1200/1000</f>
        <v>0</v>
      </c>
      <c r="U1561" s="19">
        <f>[1]TOBEPAID!U1200/1000</f>
        <v>0</v>
      </c>
      <c r="V1561" s="19">
        <f>[1]TOBEPAID!V1200/1000</f>
        <v>0</v>
      </c>
      <c r="W1561" s="19">
        <f>[1]TOBEPAID!W1200/1000</f>
        <v>0</v>
      </c>
      <c r="X1561" s="19">
        <f>[1]TOBEPAID!X1200/1000</f>
        <v>3340.8892000000001</v>
      </c>
      <c r="Y1561" s="19">
        <f t="shared" si="292"/>
        <v>46621.726199999997</v>
      </c>
      <c r="Z1561" s="19">
        <f t="shared" si="295"/>
        <v>7326.5860600000015</v>
      </c>
      <c r="AA1561" s="7">
        <f>BB94+BB150+BB248+BB413+BB564+BB695+BB809+BB923+BB1038+BB1098+BB1172+BB1241+BB1334+BB1377+BB1420</f>
        <v>0</v>
      </c>
      <c r="AB1561" s="7">
        <f t="shared" si="296"/>
        <v>7326.5856600000025</v>
      </c>
      <c r="AC1561" s="7"/>
      <c r="AD1561" s="7"/>
      <c r="AY1561" s="3">
        <f>+D1561-Y1561</f>
        <v>7326.5860600000015</v>
      </c>
    </row>
    <row r="1562" spans="1:51" ht="15.75" customHeight="1" x14ac:dyDescent="0.2">
      <c r="A1562" s="18"/>
      <c r="B1562" s="17" t="s">
        <v>422</v>
      </c>
      <c r="D1562" s="19">
        <f>386634466.69/1000</f>
        <v>386634.46668999997</v>
      </c>
      <c r="E1562" s="19">
        <f>AG103+AG177+AG284+AG461+AG625+AG761+AG895+AG1004+AG1115+AG1184+AG1286+AG1368+AG1430+AG1470+AG1526</f>
        <v>0</v>
      </c>
      <c r="F1562" s="19">
        <f>AH103+AH177+AH284+AH461+AH625+AH761+AH895+AH1004+AH1115+AH1184+AH1286+AH1368+AH1430+AH1470+AH1526</f>
        <v>0</v>
      </c>
      <c r="G1562" s="19"/>
      <c r="H1562" s="19">
        <v>0</v>
      </c>
      <c r="I1562" s="19">
        <f>[1]TOBEPAID!I1201/1000</f>
        <v>0</v>
      </c>
      <c r="J1562" s="19">
        <f>[1]TOBEPAID!J1201/1000</f>
        <v>58196.378840000005</v>
      </c>
      <c r="K1562" s="19">
        <f>[1]TOBEPAID!K1201/1000</f>
        <v>872.51886000000002</v>
      </c>
      <c r="L1562" s="19">
        <f>[1]TOBEPAID!L1201/1000</f>
        <v>0</v>
      </c>
      <c r="M1562" s="19">
        <f>[1]TOBEPAID!M1201/1000</f>
        <v>0</v>
      </c>
      <c r="N1562" s="19">
        <f>[1]TOBEPAID!N1201/1000</f>
        <v>0</v>
      </c>
      <c r="O1562" s="19">
        <f>[1]TOBEPAID!O1201/1000</f>
        <v>58196.378840000005</v>
      </c>
      <c r="P1562" s="19">
        <f>[1]TOBEPAID!P1201/1000</f>
        <v>872.51886000000002</v>
      </c>
      <c r="Q1562" s="19">
        <f>[1]TOBEPAID!Q1201/1000</f>
        <v>0</v>
      </c>
      <c r="R1562" s="19">
        <f>61112191/1000</f>
        <v>61112.190999999999</v>
      </c>
      <c r="S1562" s="19">
        <f>[1]TOBEPAID!S1201/1000</f>
        <v>0</v>
      </c>
      <c r="T1562" s="19">
        <f>[1]TOBEPAID!T1201/1000</f>
        <v>0</v>
      </c>
      <c r="U1562" s="19">
        <f>[1]TOBEPAID!U1201/1000</f>
        <v>0</v>
      </c>
      <c r="V1562" s="19">
        <f>[1]TOBEPAID!V1201/1000</f>
        <v>0</v>
      </c>
      <c r="W1562" s="19">
        <f>[1]TOBEPAID!W1201/1000</f>
        <v>0</v>
      </c>
      <c r="X1562" s="19">
        <f>[1]TOBEPAID!X1201/1000</f>
        <v>59068.897700000001</v>
      </c>
      <c r="Y1562" s="19">
        <f t="shared" si="292"/>
        <v>61112.190999999999</v>
      </c>
      <c r="Z1562" s="19">
        <f t="shared" si="295"/>
        <v>325522.27568999998</v>
      </c>
      <c r="AA1562" s="7">
        <f>BB95+BB153+BB249+BB414+BB569+BB696+BB810+BB924+BB1039+BB1099+BB1173+BB1246+BB1339+BB1378+BB1421</f>
        <v>0</v>
      </c>
      <c r="AB1562" s="7">
        <f t="shared" si="296"/>
        <v>327565.56898999994</v>
      </c>
      <c r="AC1562" s="7"/>
      <c r="AD1562" s="7"/>
    </row>
    <row r="1563" spans="1:51" ht="15.75" customHeight="1" x14ac:dyDescent="0.2">
      <c r="A1563" s="18"/>
      <c r="B1563" s="17" t="s">
        <v>423</v>
      </c>
      <c r="D1563" s="19">
        <f>56328154.99/1000</f>
        <v>56328.154990000003</v>
      </c>
      <c r="E1563" s="19">
        <f>AG104+AG178+AG285+AG463+AG628+AG764+AG896+AG1005+AG1116+AG1185+AG1287+AG1369+AG1431+AG1471+AG1527</f>
        <v>0</v>
      </c>
      <c r="F1563" s="19">
        <f>AH104+AH178+AH285+AH463+AH628+AH764+AH896+AH1005+AH1116+AH1185+AH1287+AH1369+AH1431+AH1471+AH1527</f>
        <v>0</v>
      </c>
      <c r="G1563" s="19"/>
      <c r="H1563" s="19">
        <v>0</v>
      </c>
      <c r="I1563" s="19">
        <f>[1]TOBEPAID!I1202/1000</f>
        <v>0</v>
      </c>
      <c r="J1563" s="19">
        <f>[1]TOBEPAID!J1202/1000</f>
        <v>5043.0722100000003</v>
      </c>
      <c r="K1563" s="19">
        <f>[1]TOBEPAID!K1202/1000</f>
        <v>0</v>
      </c>
      <c r="L1563" s="19">
        <f>[1]TOBEPAID!L1202/1000</f>
        <v>0</v>
      </c>
      <c r="M1563" s="19">
        <f>[1]TOBEPAID!M1202/1000</f>
        <v>0</v>
      </c>
      <c r="N1563" s="19">
        <f>[1]TOBEPAID!N1202/1000</f>
        <v>0</v>
      </c>
      <c r="O1563" s="19">
        <f>[1]TOBEPAID!O1202/1000</f>
        <v>5043.0722100000003</v>
      </c>
      <c r="P1563" s="19">
        <f>[1]TOBEPAID!P1202/1000</f>
        <v>0</v>
      </c>
      <c r="Q1563" s="19">
        <f>[1]TOBEPAID!Q1202/1000</f>
        <v>0</v>
      </c>
      <c r="R1563" s="19">
        <f>1969134/1000</f>
        <v>1969.134</v>
      </c>
      <c r="S1563" s="19">
        <f>[1]TOBEPAID!S1202/1000</f>
        <v>0</v>
      </c>
      <c r="T1563" s="19">
        <f>[1]TOBEPAID!T1202/1000</f>
        <v>0</v>
      </c>
      <c r="U1563" s="19">
        <f>[1]TOBEPAID!U1202/1000</f>
        <v>0</v>
      </c>
      <c r="V1563" s="19">
        <f>[1]TOBEPAID!V1202/1000</f>
        <v>0</v>
      </c>
      <c r="W1563" s="19">
        <f>[1]TOBEPAID!W1202/1000</f>
        <v>0</v>
      </c>
      <c r="X1563" s="19">
        <f>[1]TOBEPAID!X1202/1000</f>
        <v>5043.0722100000003</v>
      </c>
      <c r="Y1563" s="19">
        <f t="shared" si="292"/>
        <v>1969.134</v>
      </c>
      <c r="Z1563" s="19">
        <f t="shared" si="295"/>
        <v>54359.020990000005</v>
      </c>
      <c r="AA1563" s="7">
        <f>BB96+BB157+BB250+BB415+BB570+BB697+BB811+BB926+BB1040+BB1100+BB1174+BB1247+BB1340+BB1379+BB1422</f>
        <v>0</v>
      </c>
      <c r="AB1563" s="7">
        <f t="shared" si="296"/>
        <v>51285.082780000004</v>
      </c>
      <c r="AC1563" s="7"/>
      <c r="AD1563" s="7"/>
    </row>
    <row r="1564" spans="1:51" ht="15.75" customHeight="1" x14ac:dyDescent="0.2">
      <c r="A1564" s="18"/>
      <c r="B1564" s="17" t="s">
        <v>96</v>
      </c>
      <c r="D1564" s="19">
        <f>473378247/1000</f>
        <v>473378.24699999997</v>
      </c>
      <c r="E1564" s="19">
        <f>AG105+AG179+AG286+AG467+AG629+AG770+AG897+AG1006+AG1117+AG1186+AG1291+AG1370+AG1432+AG1472+AG1528</f>
        <v>0</v>
      </c>
      <c r="F1564" s="19">
        <f>AH105+AH179+AH286+AH467+AH629+AH770+AH897+AH1006+AH1117+AH1186+AH1291+AH1370+AH1432+AH1472+AH1528</f>
        <v>0</v>
      </c>
      <c r="G1564" s="19"/>
      <c r="H1564" s="19">
        <f>95118/1000</f>
        <v>95.117999999999995</v>
      </c>
      <c r="I1564" s="19">
        <f>[1]TOBEPAID!I1203/1000</f>
        <v>95.117999999999995</v>
      </c>
      <c r="J1564" s="19">
        <f>[1]TOBEPAID!J1203/1000</f>
        <v>348957.77150999999</v>
      </c>
      <c r="K1564" s="19">
        <f>[1]TOBEPAID!K1203/1000</f>
        <v>0</v>
      </c>
      <c r="L1564" s="19">
        <f>[1]TOBEPAID!L1203/1000</f>
        <v>0</v>
      </c>
      <c r="M1564" s="19">
        <f>[1]TOBEPAID!M1203/1000</f>
        <v>0</v>
      </c>
      <c r="N1564" s="19">
        <f>[1]TOBEPAID!N1203/1000</f>
        <v>95.117999999999995</v>
      </c>
      <c r="O1564" s="19">
        <f>[1]TOBEPAID!O1203/1000</f>
        <v>348957.77150999999</v>
      </c>
      <c r="P1564" s="19">
        <f>[1]TOBEPAID!P1203/1000</f>
        <v>0</v>
      </c>
      <c r="Q1564" s="19">
        <f>[1]TOBEPAID!Q1203/1000</f>
        <v>0</v>
      </c>
      <c r="R1564" s="19">
        <f>354208412/1000</f>
        <v>354208.41200000001</v>
      </c>
      <c r="S1564" s="19">
        <f>[1]TOBEPAID!S1203/1000</f>
        <v>0</v>
      </c>
      <c r="T1564" s="19">
        <f>[1]TOBEPAID!T1203/1000</f>
        <v>0</v>
      </c>
      <c r="U1564" s="19">
        <f>[1]TOBEPAID!U1203/1000</f>
        <v>0</v>
      </c>
      <c r="V1564" s="19">
        <f>[1]TOBEPAID!V1203/1000</f>
        <v>0</v>
      </c>
      <c r="W1564" s="19">
        <f>[1]TOBEPAID!W1203/1000</f>
        <v>0</v>
      </c>
      <c r="X1564" s="19">
        <f>[1]TOBEPAID!X1203/1000</f>
        <v>348957.77150999999</v>
      </c>
      <c r="Y1564" s="19">
        <f t="shared" si="292"/>
        <v>354303.53</v>
      </c>
      <c r="Z1564" s="19">
        <f t="shared" si="295"/>
        <v>119074.71699999995</v>
      </c>
      <c r="AA1564" s="7" t="e">
        <f>#REF!+BB158+BB251+BB418+BB571+BB698+BB812+BB927+BB1041+BB1101+BB1175+BB1248+BB1341+BB1380+BB1423</f>
        <v>#REF!</v>
      </c>
      <c r="AB1564" s="7">
        <f t="shared" si="296"/>
        <v>124325.35748999997</v>
      </c>
      <c r="AC1564" s="7"/>
      <c r="AD1564" s="7"/>
    </row>
    <row r="1565" spans="1:51" ht="15.75" customHeight="1" x14ac:dyDescent="0.2">
      <c r="A1565" s="18"/>
      <c r="B1565" s="17" t="s">
        <v>322</v>
      </c>
      <c r="D1565" s="19">
        <f>388777458/1000</f>
        <v>388777.45799999998</v>
      </c>
      <c r="E1565" s="19">
        <f>AG106+AG180+AG287+AG469+AG630+AG772+AG899+AG1007+AG1118+AG1187+AG1294+AG1371+AG1433+AG1473+AG1529</f>
        <v>0</v>
      </c>
      <c r="F1565" s="19">
        <f>AH106+AH180+AH287+AH469+AH630+AH772+AH899+AH1007+AH1118+AH1187+AH1294+AH1371+AH1433+AH1473+AH1529</f>
        <v>0</v>
      </c>
      <c r="G1565" s="19"/>
      <c r="H1565" s="19">
        <f>3000000/1000</f>
        <v>3000</v>
      </c>
      <c r="I1565" s="19">
        <f>[1]TOBEPAID!I1204/1000</f>
        <v>0</v>
      </c>
      <c r="J1565" s="19">
        <f>[1]TOBEPAID!J1204/1000</f>
        <v>328680.54659999994</v>
      </c>
      <c r="K1565" s="19">
        <f>[1]TOBEPAID!K1204/1000</f>
        <v>0</v>
      </c>
      <c r="L1565" s="19">
        <f>[1]TOBEPAID!L1204/1000</f>
        <v>0</v>
      </c>
      <c r="M1565" s="19">
        <f>[1]TOBEPAID!M1204/1000</f>
        <v>0</v>
      </c>
      <c r="N1565" s="19">
        <f>[1]TOBEPAID!N1204/1000</f>
        <v>0</v>
      </c>
      <c r="O1565" s="19">
        <f>[1]TOBEPAID!O1204/1000</f>
        <v>366472.74965999991</v>
      </c>
      <c r="P1565" s="19">
        <f>[1]TOBEPAID!P1204/1000</f>
        <v>0</v>
      </c>
      <c r="Q1565" s="19">
        <f>[1]TOBEPAID!Q1204/1000</f>
        <v>0</v>
      </c>
      <c r="R1565" s="19">
        <f>367314722/1000</f>
        <v>367314.72200000001</v>
      </c>
      <c r="S1565" s="19">
        <f>[1]TOBEPAID!S1204/1000</f>
        <v>0</v>
      </c>
      <c r="T1565" s="19">
        <f>[1]TOBEPAID!T1204/1000</f>
        <v>0</v>
      </c>
      <c r="U1565" s="19">
        <f>[1]TOBEPAID!U1204/1000</f>
        <v>0</v>
      </c>
      <c r="V1565" s="19">
        <f>[1]TOBEPAID!V1204/1000</f>
        <v>0</v>
      </c>
      <c r="W1565" s="19">
        <f>[1]TOBEPAID!W1204/1000</f>
        <v>0</v>
      </c>
      <c r="X1565" s="19">
        <f>[1]TOBEPAID!X1204/1000</f>
        <v>366472.74965999991</v>
      </c>
      <c r="Y1565" s="19">
        <f t="shared" si="292"/>
        <v>370314.72200000001</v>
      </c>
      <c r="Z1565" s="19">
        <f t="shared" si="295"/>
        <v>18462.735999999975</v>
      </c>
      <c r="AA1565" s="7">
        <f>BB97+BB159+BB252+BB419+BB572+BB699+BB813+BB928+BB1042+BB1102+BB1176+BB1249+BB1342+BB1381+BB1424</f>
        <v>0</v>
      </c>
      <c r="AB1565" s="7">
        <f t="shared" si="296"/>
        <v>22304.70834000007</v>
      </c>
      <c r="AC1565" s="7"/>
      <c r="AD1565" s="7"/>
    </row>
    <row r="1566" spans="1:51" ht="15.75" customHeight="1" x14ac:dyDescent="0.2">
      <c r="B1566" s="17" t="s">
        <v>424</v>
      </c>
      <c r="D1566" s="19">
        <f>467440724/1000</f>
        <v>467440.72399999999</v>
      </c>
      <c r="E1566" s="19" t="e">
        <f>AG107+AG181+AG288+AG470+AG631+AG773+AG901+AG1008+AG1119+AG1188+AG1295+AG1372+AG1434+AG1476+#REF!</f>
        <v>#REF!</v>
      </c>
      <c r="F1566" s="19" t="e">
        <f>AH107+AH181+AH288+AH470+AH631+AH773+AH901+AH1008+AH1119+AH1188+AH1295+AH1372+AH1434+AH1476+#REF!</f>
        <v>#REF!</v>
      </c>
      <c r="G1566" s="19"/>
      <c r="H1566" s="19">
        <f>467440724/1000</f>
        <v>467440.72399999999</v>
      </c>
      <c r="I1566" s="19">
        <f>[1]TOBEPAID!I1205/1000</f>
        <v>0</v>
      </c>
      <c r="J1566" s="19">
        <f>[1]TOBEPAID!J1205/1000</f>
        <v>0</v>
      </c>
      <c r="K1566" s="19">
        <f>[1]TOBEPAID!K1205/1000</f>
        <v>0</v>
      </c>
      <c r="L1566" s="19">
        <f>[1]TOBEPAID!L1205/1000</f>
        <v>0</v>
      </c>
      <c r="M1566" s="19">
        <f>[1]TOBEPAID!M1205/1000</f>
        <v>0</v>
      </c>
      <c r="N1566" s="19">
        <f>[1]TOBEPAID!N1205/1000</f>
        <v>36321.182473000008</v>
      </c>
      <c r="O1566" s="19">
        <f>[1]TOBEPAID!O1205/1000</f>
        <v>0</v>
      </c>
      <c r="P1566" s="19">
        <f>[1]TOBEPAID!P1205/1000</f>
        <v>0</v>
      </c>
      <c r="Q1566" s="19">
        <f>[1]TOBEPAID!Q1205/1000</f>
        <v>0</v>
      </c>
      <c r="R1566" s="19">
        <v>0</v>
      </c>
      <c r="S1566" s="19">
        <f>[1]TOBEPAID!S1205/1000</f>
        <v>0</v>
      </c>
      <c r="T1566" s="19">
        <f>[1]TOBEPAID!T1205/1000</f>
        <v>0</v>
      </c>
      <c r="U1566" s="19">
        <f>[1]TOBEPAID!U1205/1000</f>
        <v>0</v>
      </c>
      <c r="V1566" s="19">
        <f>[1]TOBEPAID!V1205/1000</f>
        <v>0</v>
      </c>
      <c r="W1566" s="19">
        <f>[1]TOBEPAID!W1205/1000</f>
        <v>0</v>
      </c>
      <c r="X1566" s="19">
        <f>[1]TOBEPAID!X1205/1000</f>
        <v>0</v>
      </c>
      <c r="Y1566" s="19">
        <f t="shared" si="292"/>
        <v>467440.72399999999</v>
      </c>
      <c r="Z1566" s="19">
        <f t="shared" si="295"/>
        <v>0</v>
      </c>
      <c r="AA1566" s="7">
        <f>BB98+BB160+BB253+BB420+BB573+BB700+BB814+BB931+BB1043+BB1103+BB1177+BB1260+BB1343+BB1382+BB1427</f>
        <v>0</v>
      </c>
      <c r="AB1566" s="7">
        <f t="shared" si="296"/>
        <v>431119.54152699996</v>
      </c>
      <c r="AC1566" s="7"/>
      <c r="AD1566" s="7"/>
    </row>
    <row r="1567" spans="1:51" ht="15.75" customHeight="1" x14ac:dyDescent="0.2">
      <c r="A1567" s="18"/>
      <c r="B1567" s="3" t="s">
        <v>152</v>
      </c>
      <c r="D1567" s="19">
        <f>434405/1000</f>
        <v>434.40499999999997</v>
      </c>
      <c r="E1567" s="19" t="e">
        <f>AG108+AG182+AG289+AG471+#REF!+AG774+AG902+AG1009+AG1120+AG1189+AG1299+AG1375+AG1435+AG1477+AG1530</f>
        <v>#REF!</v>
      </c>
      <c r="F1567" s="19" t="e">
        <f>AH108+AH182+AH289+AH471+#REF!+AH774+AH902+AH1009+AH1120+AH1189+AH1299+AH1375+AH1435+AH1477+AH1530</f>
        <v>#REF!</v>
      </c>
      <c r="G1567" s="19"/>
      <c r="H1567" s="19">
        <v>0</v>
      </c>
      <c r="I1567" s="19">
        <f>[1]TOBEPAID!I1206/1000</f>
        <v>0</v>
      </c>
      <c r="J1567" s="19">
        <f>[1]TOBEPAID!J1206/1000</f>
        <v>0</v>
      </c>
      <c r="K1567" s="19">
        <f>[1]TOBEPAID!K1206/1000</f>
        <v>0</v>
      </c>
      <c r="L1567" s="19">
        <f>[1]TOBEPAID!L1206/1000</f>
        <v>0</v>
      </c>
      <c r="M1567" s="19">
        <f>[1]TOBEPAID!M1206/1000</f>
        <v>0</v>
      </c>
      <c r="N1567" s="19">
        <f>[1]TOBEPAID!N1206/1000</f>
        <v>0</v>
      </c>
      <c r="O1567" s="19">
        <f>[1]TOBEPAID!O1206/1000</f>
        <v>0</v>
      </c>
      <c r="P1567" s="19">
        <f>[1]TOBEPAID!P1206/1000</f>
        <v>0</v>
      </c>
      <c r="Q1567" s="19">
        <f>[1]TOBEPAID!Q1206/1000</f>
        <v>0</v>
      </c>
      <c r="R1567" s="19">
        <v>0</v>
      </c>
      <c r="S1567" s="19">
        <f>[1]TOBEPAID!S1206/1000</f>
        <v>0</v>
      </c>
      <c r="T1567" s="19">
        <f>[1]TOBEPAID!T1206/1000</f>
        <v>0</v>
      </c>
      <c r="U1567" s="19">
        <f>[1]TOBEPAID!U1206/1000</f>
        <v>0</v>
      </c>
      <c r="V1567" s="19">
        <f>[1]TOBEPAID!V1206/1000</f>
        <v>0</v>
      </c>
      <c r="W1567" s="19">
        <f>[1]TOBEPAID!W1206/1000</f>
        <v>0</v>
      </c>
      <c r="X1567" s="19">
        <f>[1]TOBEPAID!X1206/1000</f>
        <v>0</v>
      </c>
      <c r="Y1567" s="19">
        <f t="shared" si="292"/>
        <v>0</v>
      </c>
      <c r="Z1567" s="19">
        <f t="shared" si="295"/>
        <v>434.40499999999997</v>
      </c>
      <c r="AA1567" s="7">
        <f>BB98+BB160+BB253+BB420+BB573+BB700+BB814+BB931+BB1043+BB1103+BB1177+BB1260+BB1343+BB1382+BB1427</f>
        <v>0</v>
      </c>
      <c r="AB1567" s="7">
        <f t="shared" si="296"/>
        <v>434.40499999999997</v>
      </c>
      <c r="AC1567" s="7"/>
      <c r="AD1567" s="7"/>
    </row>
    <row r="1568" spans="1:51" ht="15.75" customHeight="1" x14ac:dyDescent="0.2">
      <c r="A1568" s="18"/>
      <c r="B1568" s="17" t="s">
        <v>425</v>
      </c>
      <c r="D1568" s="19">
        <f>837838/1000</f>
        <v>837.83799999999997</v>
      </c>
      <c r="E1568" s="19" t="e">
        <f>AG109+AG183+AG290+AG472+#REF!+AG775+AG903+AG1010+AG1121+AG1191+AG1300+AG1376+AG1436+AG1478+AG1531</f>
        <v>#REF!</v>
      </c>
      <c r="F1568" s="19" t="e">
        <f>AH109+AH183+AH290+AH472+#REF!+AH775+AH903+AH1010+AH1121+AH1191+AH1300+AH1376+AH1436+AH1478+AH1531</f>
        <v>#REF!</v>
      </c>
      <c r="G1568" s="19"/>
      <c r="H1568" s="19">
        <f>837838/1000</f>
        <v>837.83799999999997</v>
      </c>
      <c r="I1568" s="19">
        <f>[1]TOBEPAID!I1207/1000</f>
        <v>837.83857</v>
      </c>
      <c r="J1568" s="19">
        <f>[1]TOBEPAID!J1207/1000</f>
        <v>0</v>
      </c>
      <c r="K1568" s="19">
        <f>[1]TOBEPAID!K1207/1000</f>
        <v>0</v>
      </c>
      <c r="L1568" s="19">
        <f>[1]TOBEPAID!L1207/1000</f>
        <v>0</v>
      </c>
      <c r="M1568" s="19">
        <f>[1]TOBEPAID!M1207/1000</f>
        <v>0</v>
      </c>
      <c r="N1568" s="19">
        <f>[1]TOBEPAID!N1207/1000</f>
        <v>837.83857</v>
      </c>
      <c r="O1568" s="19">
        <f>[1]TOBEPAID!O1207/1000</f>
        <v>0</v>
      </c>
      <c r="P1568" s="19">
        <f>[1]TOBEPAID!P1207/1000</f>
        <v>0</v>
      </c>
      <c r="Q1568" s="19">
        <f>[1]TOBEPAID!Q1207/1000</f>
        <v>0</v>
      </c>
      <c r="R1568" s="19">
        <v>0</v>
      </c>
      <c r="S1568" s="19">
        <f>[1]TOBEPAID!S1207/1000</f>
        <v>0</v>
      </c>
      <c r="T1568" s="19">
        <f>[1]TOBEPAID!T1207/1000</f>
        <v>0</v>
      </c>
      <c r="U1568" s="19">
        <f>[1]TOBEPAID!U1207/1000</f>
        <v>0</v>
      </c>
      <c r="V1568" s="19">
        <f>[1]TOBEPAID!V1207/1000</f>
        <v>0</v>
      </c>
      <c r="W1568" s="19">
        <f>[1]TOBEPAID!W1207/1000</f>
        <v>0</v>
      </c>
      <c r="X1568" s="19">
        <f>[1]TOBEPAID!X1207/1000</f>
        <v>0</v>
      </c>
      <c r="Y1568" s="19">
        <f t="shared" si="292"/>
        <v>837.83799999999997</v>
      </c>
      <c r="Z1568" s="19">
        <f t="shared" si="295"/>
        <v>0</v>
      </c>
      <c r="AA1568" s="7">
        <f>BB99+BB161+BB254+BB421+BB574+BB701+BB818+BB932+BB1044+BB1104+BB1183+BB1263+BB1345+BB1383+BB1428</f>
        <v>0</v>
      </c>
      <c r="AB1568" s="7">
        <f t="shared" si="296"/>
        <v>-5.7000000003881723E-4</v>
      </c>
      <c r="AC1568" s="7"/>
      <c r="AD1568" s="7"/>
    </row>
    <row r="1569" spans="1:51" ht="15.75" customHeight="1" x14ac:dyDescent="0.2">
      <c r="A1569" s="18"/>
      <c r="B1569" s="3" t="s">
        <v>355</v>
      </c>
      <c r="D1569" s="19">
        <f>4360000/1000</f>
        <v>4360</v>
      </c>
      <c r="E1569" s="19" t="e">
        <f>AG110+AG184+AG291+AG473+#REF!+AG776+AG904+AG1011+AG1122+AG1194+AG1301+AG1377+AG1437+AG1479+AG1532</f>
        <v>#REF!</v>
      </c>
      <c r="F1569" s="19" t="e">
        <f>AH110+AH184+AH291+AH473+#REF!+AH776+AH904+AH1011+AH1122+AH1194+AH1301+AH1377+AH1437+AH1479+AH1532</f>
        <v>#REF!</v>
      </c>
      <c r="G1569" s="19"/>
      <c r="H1569" s="19">
        <f>4359759/1000</f>
        <v>4359.759</v>
      </c>
      <c r="I1569" s="19">
        <f>[1]TOBEPAID!I1208/1000</f>
        <v>4359.7596199999998</v>
      </c>
      <c r="J1569" s="19">
        <f>[1]TOBEPAID!J1208/1000</f>
        <v>0</v>
      </c>
      <c r="K1569" s="19">
        <f>[1]TOBEPAID!K1208/1000</f>
        <v>0</v>
      </c>
      <c r="L1569" s="19">
        <f>[1]TOBEPAID!L1208/1000</f>
        <v>0</v>
      </c>
      <c r="M1569" s="19">
        <f>[1]TOBEPAID!M1208/1000</f>
        <v>0</v>
      </c>
      <c r="N1569" s="19">
        <f>[1]TOBEPAID!N1208/1000</f>
        <v>4359.7596199999998</v>
      </c>
      <c r="O1569" s="19">
        <f>[1]TOBEPAID!O1208/1000</f>
        <v>0</v>
      </c>
      <c r="P1569" s="19">
        <f>[1]TOBEPAID!P1208/1000</f>
        <v>0</v>
      </c>
      <c r="Q1569" s="19">
        <f>[1]TOBEPAID!Q1208/1000</f>
        <v>0</v>
      </c>
      <c r="R1569" s="19">
        <v>0</v>
      </c>
      <c r="S1569" s="19">
        <f>[1]TOBEPAID!S1208/1000</f>
        <v>0</v>
      </c>
      <c r="T1569" s="19">
        <f>[1]TOBEPAID!T1208/1000</f>
        <v>0</v>
      </c>
      <c r="U1569" s="19">
        <f>[1]TOBEPAID!U1208/1000</f>
        <v>0</v>
      </c>
      <c r="V1569" s="19">
        <f>[1]TOBEPAID!V1208/1000</f>
        <v>0</v>
      </c>
      <c r="W1569" s="19">
        <f>[1]TOBEPAID!W1208/1000</f>
        <v>0</v>
      </c>
      <c r="X1569" s="19">
        <f>[1]TOBEPAID!X1208/1000</f>
        <v>0</v>
      </c>
      <c r="Y1569" s="19">
        <f t="shared" si="292"/>
        <v>4359.759</v>
      </c>
      <c r="Z1569" s="19">
        <f t="shared" si="295"/>
        <v>0.24099999999998545</v>
      </c>
      <c r="AA1569" s="7">
        <f>BB100+BB162+BB255+BB422+BB575+BB702+BB820+BB933+BB1045+BB1105+BB1184+BB1266+BB1346+BB1384+BB1429</f>
        <v>0</v>
      </c>
      <c r="AB1569" s="7">
        <f t="shared" si="296"/>
        <v>0.24038000000018656</v>
      </c>
      <c r="AC1569" s="7"/>
      <c r="AD1569" s="7"/>
    </row>
    <row r="1570" spans="1:51" ht="15.75" customHeight="1" x14ac:dyDescent="0.2">
      <c r="A1570" s="18"/>
      <c r="B1570" s="3" t="s">
        <v>117</v>
      </c>
      <c r="D1570" s="19">
        <f>14279036.31/1000</f>
        <v>14279.036310000001</v>
      </c>
      <c r="E1570" s="19" t="e">
        <f>AG111+AG186+AG292+AG474+#REF!+AG777+AG905+AG1012+AG1123+AG1195+AG1302+AG1378+AG1438+AG1480+AG1533</f>
        <v>#REF!</v>
      </c>
      <c r="F1570" s="19" t="e">
        <f>AH111+AH186+AH292+AH474+#REF!+AH777+AH905+AH1012+AH1123+AH1195+AH1302+AH1378+AH1438+AH1480+AH1533</f>
        <v>#REF!</v>
      </c>
      <c r="G1570" s="19"/>
      <c r="H1570" s="19">
        <f>14279036.31/1000</f>
        <v>14279.036310000001</v>
      </c>
      <c r="I1570" s="19">
        <f>[1]TOBEPAID!I1209/1000</f>
        <v>16734.57706</v>
      </c>
      <c r="J1570" s="19">
        <f>[1]TOBEPAID!J1209/1000</f>
        <v>0</v>
      </c>
      <c r="K1570" s="19">
        <f>[1]TOBEPAID!K1209/1000</f>
        <v>0</v>
      </c>
      <c r="L1570" s="19">
        <f>[1]TOBEPAID!L1209/1000</f>
        <v>0</v>
      </c>
      <c r="M1570" s="19">
        <f>[1]TOBEPAID!M1209/1000</f>
        <v>0</v>
      </c>
      <c r="N1570" s="19">
        <f>[1]TOBEPAID!N1209/1000</f>
        <v>16734.57706</v>
      </c>
      <c r="O1570" s="19">
        <f>[1]TOBEPAID!O1209/1000</f>
        <v>0</v>
      </c>
      <c r="P1570" s="19">
        <f>[1]TOBEPAID!P1209/1000</f>
        <v>0</v>
      </c>
      <c r="Q1570" s="19">
        <f>[1]TOBEPAID!Q1209/1000</f>
        <v>0</v>
      </c>
      <c r="R1570" s="19">
        <v>0</v>
      </c>
      <c r="S1570" s="19">
        <f>[1]TOBEPAID!S1209/1000</f>
        <v>0</v>
      </c>
      <c r="T1570" s="19">
        <f>[1]TOBEPAID!T1209/1000</f>
        <v>0</v>
      </c>
      <c r="U1570" s="19">
        <f>[1]TOBEPAID!U1209/1000</f>
        <v>0</v>
      </c>
      <c r="V1570" s="19">
        <f>[1]TOBEPAID!V1209/1000</f>
        <v>0</v>
      </c>
      <c r="W1570" s="19">
        <f>[1]TOBEPAID!W1209/1000</f>
        <v>0</v>
      </c>
      <c r="X1570" s="19">
        <f>[1]TOBEPAID!X1209/1000</f>
        <v>0</v>
      </c>
      <c r="Y1570" s="19">
        <f t="shared" si="292"/>
        <v>14279.036310000001</v>
      </c>
      <c r="Z1570" s="19">
        <f t="shared" si="295"/>
        <v>0</v>
      </c>
      <c r="AA1570" s="7">
        <f>BB101+BB163+BB256+BB423+BB576+BB703+BB821+BB934+BB1047+BB1106+BB1185+BB1267+BB1347+BB1385+BB1430</f>
        <v>0</v>
      </c>
      <c r="AB1570" s="7">
        <f t="shared" si="296"/>
        <v>-2455.5407499999983</v>
      </c>
      <c r="AC1570" s="7"/>
      <c r="AD1570" s="7"/>
    </row>
    <row r="1571" spans="1:51" ht="15.75" customHeight="1" x14ac:dyDescent="0.2">
      <c r="A1571" s="18"/>
      <c r="B1571" s="3" t="s">
        <v>426</v>
      </c>
      <c r="D1571" s="19">
        <v>0</v>
      </c>
      <c r="E1571" s="19" t="e">
        <f>AG112+AG196+AG293+AG475+#REF!+AG778+AG906+AG1015+AG1124+AG1196+AG1303+AG1379+AG1439+AG1481+AG1534</f>
        <v>#REF!</v>
      </c>
      <c r="F1571" s="19" t="e">
        <f>AH112+AH196+AH293+AH475+#REF!+AH778+AH906+AH1015+AH1124+AH1196+AH1303+AH1379+AH1439+AH1481+AH1534</f>
        <v>#REF!</v>
      </c>
      <c r="G1571" s="19"/>
      <c r="H1571" s="19">
        <v>0</v>
      </c>
      <c r="I1571" s="19">
        <f>[1]TOBEPAID!I1210/1000</f>
        <v>0</v>
      </c>
      <c r="J1571" s="19">
        <f>[1]TOBEPAID!J1210/1000</f>
        <v>0</v>
      </c>
      <c r="K1571" s="19">
        <f>[1]TOBEPAID!K1210/1000</f>
        <v>0</v>
      </c>
      <c r="L1571" s="19">
        <f>[1]TOBEPAID!L1210/1000</f>
        <v>0</v>
      </c>
      <c r="M1571" s="19">
        <f>[1]TOBEPAID!M1210/1000</f>
        <v>0</v>
      </c>
      <c r="N1571" s="19">
        <f>[1]TOBEPAID!N1210/1000</f>
        <v>0</v>
      </c>
      <c r="O1571" s="19">
        <f>[1]TOBEPAID!O1210/1000</f>
        <v>0</v>
      </c>
      <c r="P1571" s="19">
        <f>[1]TOBEPAID!P1210/1000</f>
        <v>0</v>
      </c>
      <c r="Q1571" s="19">
        <f>[1]TOBEPAID!Q1210/1000</f>
        <v>0</v>
      </c>
      <c r="R1571" s="19">
        <v>0</v>
      </c>
      <c r="S1571" s="19">
        <f>[1]TOBEPAID!S1210/1000</f>
        <v>0</v>
      </c>
      <c r="T1571" s="19">
        <f>[1]TOBEPAID!T1210/1000</f>
        <v>0</v>
      </c>
      <c r="U1571" s="19">
        <f>[1]TOBEPAID!U1210/1000</f>
        <v>0</v>
      </c>
      <c r="V1571" s="19">
        <f>[1]TOBEPAID!V1210/1000</f>
        <v>0</v>
      </c>
      <c r="W1571" s="19">
        <f>[1]TOBEPAID!W1210/1000</f>
        <v>0</v>
      </c>
      <c r="X1571" s="19">
        <f>[1]TOBEPAID!X1210/1000</f>
        <v>0</v>
      </c>
      <c r="Y1571" s="19">
        <f t="shared" si="292"/>
        <v>0</v>
      </c>
      <c r="Z1571" s="19">
        <f t="shared" si="295"/>
        <v>0</v>
      </c>
      <c r="AA1571" s="7">
        <f>BB102+BB164+BB257+BB424+BB577+BB704+BB824+BB935+BB1048+BB1107+BB1186+BB1268+BB1348+BB1386+BB1431</f>
        <v>0</v>
      </c>
      <c r="AB1571" s="7">
        <f t="shared" si="296"/>
        <v>0</v>
      </c>
      <c r="AC1571" s="7"/>
      <c r="AD1571" s="7"/>
    </row>
    <row r="1572" spans="1:51" ht="15.75" customHeight="1" x14ac:dyDescent="0.2">
      <c r="B1572" s="3" t="s">
        <v>374</v>
      </c>
      <c r="D1572" s="19">
        <f>2000000/1000</f>
        <v>2000</v>
      </c>
      <c r="E1572" s="19" t="e">
        <f>AG113+AG197+AG294+AG476+#REF!+AG779+AG907+AG1019+AG1125+AG1197+AG1304+AG1380+AG1440+AG1482+AG1535</f>
        <v>#REF!</v>
      </c>
      <c r="F1572" s="19" t="e">
        <f>AH113+AH197+AH294+AH476+#REF!+AH779+AH907+AH1019+AH1125+AH1197+AH1304+AH1380+AH1440+AH1482+AH1535</f>
        <v>#REF!</v>
      </c>
      <c r="G1572" s="19"/>
      <c r="H1572" s="19">
        <v>0</v>
      </c>
      <c r="I1572" s="19">
        <f>[1]TOBEPAID!I1211/1000</f>
        <v>5617.6804800000009</v>
      </c>
      <c r="J1572" s="19">
        <f>[1]TOBEPAID!J1211/1000</f>
        <v>835.22230000000002</v>
      </c>
      <c r="K1572" s="19">
        <f>[1]TOBEPAID!K1211/1000</f>
        <v>0</v>
      </c>
      <c r="L1572" s="19">
        <f>[1]TOBEPAID!L1211/1000</f>
        <v>0</v>
      </c>
      <c r="M1572" s="19">
        <f>[1]TOBEPAID!M1211/1000</f>
        <v>0</v>
      </c>
      <c r="N1572" s="19">
        <f>[1]TOBEPAID!N1211/1000</f>
        <v>0</v>
      </c>
      <c r="O1572" s="19">
        <f>[1]TOBEPAID!O1211/1000</f>
        <v>2000</v>
      </c>
      <c r="P1572" s="19">
        <f>[1]TOBEPAID!P1211/1000</f>
        <v>0</v>
      </c>
      <c r="Q1572" s="19">
        <f>[1]TOBEPAID!Q1211/1000</f>
        <v>0</v>
      </c>
      <c r="R1572" s="19">
        <f>2000000/1000</f>
        <v>2000</v>
      </c>
      <c r="S1572" s="19">
        <f>[1]TOBEPAID!S1211/1000</f>
        <v>0</v>
      </c>
      <c r="T1572" s="19">
        <f>[1]TOBEPAID!T1211/1000</f>
        <v>0</v>
      </c>
      <c r="U1572" s="19">
        <f>[1]TOBEPAID!U1211/1000</f>
        <v>0</v>
      </c>
      <c r="V1572" s="19">
        <f>[1]TOBEPAID!V1211/1000</f>
        <v>0</v>
      </c>
      <c r="W1572" s="19">
        <f>[1]TOBEPAID!W1211/1000</f>
        <v>0</v>
      </c>
      <c r="X1572" s="19">
        <f>[1]TOBEPAID!X1211/1000</f>
        <v>2000</v>
      </c>
      <c r="Y1572" s="19">
        <f t="shared" si="292"/>
        <v>2000</v>
      </c>
      <c r="Z1572" s="19">
        <f t="shared" si="295"/>
        <v>0</v>
      </c>
      <c r="AA1572" s="7" t="e">
        <f>BB103+BB165+#REF!+BB428+BB578+BB705+BB826+BB936+BB1050+BB1108+BB1187+BB1269+BB1349+BB1387+BB1432</f>
        <v>#REF!</v>
      </c>
      <c r="AB1572" s="7">
        <f t="shared" si="296"/>
        <v>0</v>
      </c>
      <c r="AC1572" s="7"/>
      <c r="AD1572" s="7"/>
      <c r="AR1572" s="3" t="e">
        <f>+AR1513-Z1514</f>
        <v>#REF!</v>
      </c>
    </row>
    <row r="1573" spans="1:51" x14ac:dyDescent="0.2">
      <c r="D1573" s="88" t="s">
        <v>57</v>
      </c>
      <c r="E1573" s="88" t="s">
        <v>57</v>
      </c>
      <c r="F1573" s="88" t="s">
        <v>57</v>
      </c>
      <c r="G1573" s="88"/>
      <c r="H1573" s="88" t="s">
        <v>57</v>
      </c>
      <c r="I1573" s="88" t="s">
        <v>57</v>
      </c>
      <c r="J1573" s="88" t="s">
        <v>57</v>
      </c>
      <c r="K1573" s="88" t="s">
        <v>57</v>
      </c>
      <c r="L1573" s="88" t="s">
        <v>57</v>
      </c>
      <c r="M1573" s="88"/>
      <c r="N1573" s="88" t="s">
        <v>57</v>
      </c>
      <c r="O1573" s="88" t="s">
        <v>57</v>
      </c>
      <c r="P1573" s="88" t="s">
        <v>57</v>
      </c>
      <c r="Q1573" s="88"/>
      <c r="R1573" s="88" t="s">
        <v>57</v>
      </c>
      <c r="S1573" s="88" t="s">
        <v>57</v>
      </c>
      <c r="T1573" s="88" t="s">
        <v>57</v>
      </c>
      <c r="U1573" s="88" t="s">
        <v>57</v>
      </c>
      <c r="V1573" s="88" t="s">
        <v>57</v>
      </c>
      <c r="W1573" s="88"/>
      <c r="X1573" s="88" t="s">
        <v>57</v>
      </c>
      <c r="Y1573" s="88" t="s">
        <v>57</v>
      </c>
      <c r="Z1573" s="88" t="s">
        <v>57</v>
      </c>
      <c r="AA1573" s="88" t="s">
        <v>57</v>
      </c>
      <c r="AB1573" s="88" t="s">
        <v>57</v>
      </c>
      <c r="AC1573" s="88"/>
      <c r="AD1573" s="88"/>
    </row>
    <row r="1574" spans="1:51" x14ac:dyDescent="0.2">
      <c r="B1574" s="17" t="s">
        <v>427</v>
      </c>
      <c r="D1574" s="19">
        <f>SUM(D1536:D1572)+1</f>
        <v>41167061.556309998</v>
      </c>
      <c r="E1574" s="19" t="e">
        <f>SUM(E1536:E1572)</f>
        <v>#REF!</v>
      </c>
      <c r="F1574" s="19" t="e">
        <f>SUM(F1536:F1572)</f>
        <v>#REF!</v>
      </c>
      <c r="G1574" s="19"/>
      <c r="H1574" s="19">
        <f>SUM(H1536:H1572)+1</f>
        <v>35103075.420019999</v>
      </c>
      <c r="I1574" s="19">
        <f>SUM(I1536:I1572)</f>
        <v>1642514.2818100003</v>
      </c>
      <c r="J1574" s="19">
        <f>SUM(J1536:J1572)</f>
        <v>1034633.2477200001</v>
      </c>
      <c r="K1574" s="19">
        <f>SUM(K1536:K1572)</f>
        <v>2691.11382</v>
      </c>
      <c r="L1574" s="19">
        <f>SUM(L1536:L1572)</f>
        <v>0</v>
      </c>
      <c r="M1574" s="19"/>
      <c r="N1574" s="19">
        <f>SUM(N1536:N1572)</f>
        <v>3845716.3107890007</v>
      </c>
      <c r="O1574" s="19">
        <f>SUM(O1536:O1572)</f>
        <v>976481.73609000002</v>
      </c>
      <c r="P1574" s="19">
        <f>SUM(P1536:P1572)</f>
        <v>2168.27142</v>
      </c>
      <c r="Q1574" s="19"/>
      <c r="R1574" s="19">
        <f>SUM(R1536:R1572)-1</f>
        <v>1033563.51795</v>
      </c>
      <c r="S1574" s="19">
        <f>SUM(S1536:S1572)</f>
        <v>0</v>
      </c>
      <c r="T1574" s="19">
        <f>SUM(T1536:T1572)</f>
        <v>0</v>
      </c>
      <c r="U1574" s="19">
        <f>SUM(U1536:U1572)</f>
        <v>0</v>
      </c>
      <c r="V1574" s="19">
        <f>SUM(V1536:V1572)</f>
        <v>0</v>
      </c>
      <c r="W1574" s="19"/>
      <c r="X1574" s="19">
        <f>SUM(X1536:X1572)</f>
        <v>978650.00750999991</v>
      </c>
      <c r="Y1574" s="19">
        <f>SUM(Y1536:Y1572)</f>
        <v>36136638.937970005</v>
      </c>
      <c r="Z1574" s="19">
        <f>SUM(Z1536:Z1572)</f>
        <v>5030421.6183399996</v>
      </c>
      <c r="AA1574" s="7" t="e">
        <f>SUM(AA1536:AA1572)</f>
        <v>#REF!</v>
      </c>
      <c r="AB1574" s="7">
        <f>SUM(AB1536:AB1572)</f>
        <v>32593941.723060999</v>
      </c>
      <c r="AC1574" s="7"/>
      <c r="AD1574" s="7"/>
    </row>
    <row r="1575" spans="1:51" x14ac:dyDescent="0.2">
      <c r="D1575" s="88" t="s">
        <v>93</v>
      </c>
      <c r="E1575" s="88" t="s">
        <v>93</v>
      </c>
      <c r="F1575" s="88" t="s">
        <v>93</v>
      </c>
      <c r="G1575" s="88"/>
      <c r="H1575" s="88" t="s">
        <v>93</v>
      </c>
      <c r="I1575" s="88" t="s">
        <v>93</v>
      </c>
      <c r="J1575" s="88" t="s">
        <v>93</v>
      </c>
      <c r="K1575" s="88" t="s">
        <v>93</v>
      </c>
      <c r="L1575" s="88" t="s">
        <v>93</v>
      </c>
      <c r="M1575" s="88"/>
      <c r="N1575" s="88" t="s">
        <v>93</v>
      </c>
      <c r="O1575" s="88" t="s">
        <v>93</v>
      </c>
      <c r="P1575" s="88" t="s">
        <v>93</v>
      </c>
      <c r="Q1575" s="88"/>
      <c r="R1575" s="88" t="s">
        <v>93</v>
      </c>
      <c r="S1575" s="88" t="s">
        <v>93</v>
      </c>
      <c r="T1575" s="88" t="s">
        <v>93</v>
      </c>
      <c r="U1575" s="88" t="s">
        <v>93</v>
      </c>
      <c r="V1575" s="88" t="s">
        <v>93</v>
      </c>
      <c r="W1575" s="88"/>
      <c r="X1575" s="88" t="s">
        <v>93</v>
      </c>
      <c r="Y1575" s="88" t="s">
        <v>93</v>
      </c>
      <c r="Z1575" s="88" t="s">
        <v>93</v>
      </c>
      <c r="AA1575" s="88" t="s">
        <v>93</v>
      </c>
      <c r="AB1575" s="88" t="s">
        <v>93</v>
      </c>
      <c r="AC1575" s="88"/>
      <c r="AD1575" s="88"/>
    </row>
    <row r="1576" spans="1:51" x14ac:dyDescent="0.2">
      <c r="D1576" s="89">
        <f>+D1574-D1514</f>
        <v>-0.92587000876665115</v>
      </c>
      <c r="E1576" s="89"/>
      <c r="F1576" s="89"/>
      <c r="G1576" s="89"/>
      <c r="H1576" s="89">
        <f t="shared" ref="H1576:Z1576" si="297">+H1574-H1514</f>
        <v>0.54498999565839767</v>
      </c>
      <c r="I1576" s="89" t="e">
        <f t="shared" si="297"/>
        <v>#REF!</v>
      </c>
      <c r="J1576" s="89" t="e">
        <f t="shared" si="297"/>
        <v>#REF!</v>
      </c>
      <c r="K1576" s="89" t="e">
        <f t="shared" si="297"/>
        <v>#REF!</v>
      </c>
      <c r="L1576" s="89" t="e">
        <f t="shared" si="297"/>
        <v>#REF!</v>
      </c>
      <c r="M1576" s="89">
        <f t="shared" si="297"/>
        <v>0</v>
      </c>
      <c r="N1576" s="89" t="e">
        <f t="shared" si="297"/>
        <v>#REF!</v>
      </c>
      <c r="O1576" s="89" t="e">
        <f t="shared" si="297"/>
        <v>#REF!</v>
      </c>
      <c r="P1576" s="89" t="e">
        <f t="shared" si="297"/>
        <v>#VALUE!</v>
      </c>
      <c r="Q1576" s="89">
        <f t="shared" si="297"/>
        <v>0</v>
      </c>
      <c r="R1576" s="89">
        <f t="shared" si="297"/>
        <v>-0.8565299998736009</v>
      </c>
      <c r="S1576" s="89" t="e">
        <f t="shared" si="297"/>
        <v>#REF!</v>
      </c>
      <c r="T1576" s="89" t="e">
        <f t="shared" si="297"/>
        <v>#REF!</v>
      </c>
      <c r="U1576" s="89" t="e">
        <f t="shared" si="297"/>
        <v>#REF!</v>
      </c>
      <c r="V1576" s="89" t="e">
        <f t="shared" si="297"/>
        <v>#REF!</v>
      </c>
      <c r="W1576" s="89">
        <f t="shared" si="297"/>
        <v>0</v>
      </c>
      <c r="X1576" s="89" t="e">
        <f t="shared" si="297"/>
        <v>#REF!</v>
      </c>
      <c r="Y1576" s="89">
        <f t="shared" si="297"/>
        <v>-0.31540999561548233</v>
      </c>
      <c r="Z1576" s="89">
        <f t="shared" si="297"/>
        <v>-0.81711000017821789</v>
      </c>
      <c r="AA1576" s="90"/>
      <c r="AB1576" s="90"/>
      <c r="AC1576" s="90"/>
      <c r="AD1576" s="90"/>
      <c r="AE1576" s="91"/>
      <c r="AF1576" s="91"/>
      <c r="AG1576" s="91"/>
      <c r="AH1576" s="91"/>
      <c r="AI1576" s="91"/>
      <c r="AJ1576" s="91"/>
      <c r="AK1576" s="91"/>
      <c r="AL1576" s="91"/>
      <c r="AM1576" s="91"/>
      <c r="AN1576" s="91"/>
      <c r="AO1576" s="91"/>
      <c r="AP1576" s="91"/>
      <c r="AQ1576" s="91"/>
      <c r="AR1576" s="91"/>
      <c r="AS1576" s="91"/>
      <c r="AT1576" s="91"/>
      <c r="AU1576" s="91"/>
      <c r="AV1576" s="91"/>
      <c r="AW1576" s="91"/>
      <c r="AX1576" s="91"/>
      <c r="AY1576" s="91"/>
    </row>
    <row r="1577" spans="1:51" ht="15.75" thickBot="1" x14ac:dyDescent="0.25">
      <c r="B1577" s="3" t="s">
        <v>428</v>
      </c>
      <c r="D1577" s="37">
        <f>+D1517</f>
        <v>35754.094639999996</v>
      </c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72">
        <f>+O1517</f>
        <v>137986.81619999997</v>
      </c>
      <c r="P1577" s="72">
        <f>+P416+P203</f>
        <v>0</v>
      </c>
      <c r="Q1577" s="4"/>
      <c r="R1577" s="37">
        <f>+D1577</f>
        <v>35754.094639999996</v>
      </c>
      <c r="S1577" s="4"/>
      <c r="T1577" s="4"/>
      <c r="U1577" s="4"/>
      <c r="V1577" s="72">
        <f>+V474+V1481+V1118</f>
        <v>6098.0420000000004</v>
      </c>
      <c r="W1577" s="4"/>
      <c r="X1577" s="4"/>
      <c r="Y1577" s="37">
        <f>+Y1517</f>
        <v>35754.093879999993</v>
      </c>
      <c r="Z1577" s="72">
        <v>0</v>
      </c>
      <c r="AA1577" s="4"/>
      <c r="AB1577" s="4"/>
      <c r="AC1577" s="4"/>
      <c r="AD1577" s="4"/>
    </row>
    <row r="1578" spans="1:51" ht="15.75" thickTop="1" x14ac:dyDescent="0.2"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  <c r="U1578" s="4"/>
      <c r="V1578" s="4"/>
      <c r="W1578" s="4"/>
      <c r="X1578" s="4"/>
      <c r="Y1578" s="71"/>
      <c r="Z1578" s="4"/>
      <c r="AA1578" s="4"/>
      <c r="AB1578" s="4"/>
      <c r="AC1578" s="4"/>
      <c r="AD1578" s="4"/>
    </row>
    <row r="1579" spans="1:51" x14ac:dyDescent="0.2">
      <c r="D1579" s="4"/>
      <c r="E1579" s="4"/>
      <c r="F1579" s="4"/>
      <c r="G1579" s="4"/>
      <c r="H1579" s="4"/>
      <c r="I1579" s="4" t="e">
        <f t="shared" ref="I1579:Q1579" si="298">+I1514-I1574</f>
        <v>#REF!</v>
      </c>
      <c r="J1579" s="4" t="e">
        <f t="shared" si="298"/>
        <v>#REF!</v>
      </c>
      <c r="K1579" s="4" t="e">
        <f t="shared" si="298"/>
        <v>#REF!</v>
      </c>
      <c r="L1579" s="4" t="e">
        <f t="shared" si="298"/>
        <v>#REF!</v>
      </c>
      <c r="M1579" s="4">
        <f t="shared" si="298"/>
        <v>0</v>
      </c>
      <c r="N1579" s="4" t="e">
        <f t="shared" si="298"/>
        <v>#REF!</v>
      </c>
      <c r="O1579" s="4" t="e">
        <f t="shared" si="298"/>
        <v>#REF!</v>
      </c>
      <c r="P1579" s="4" t="e">
        <f t="shared" si="298"/>
        <v>#VALUE!</v>
      </c>
      <c r="Q1579" s="4">
        <f t="shared" si="298"/>
        <v>0</v>
      </c>
      <c r="R1579" s="4"/>
      <c r="S1579" s="4" t="e">
        <f t="shared" ref="S1579:X1579" si="299">+S1514-S1574</f>
        <v>#REF!</v>
      </c>
      <c r="T1579" s="4" t="e">
        <f t="shared" si="299"/>
        <v>#REF!</v>
      </c>
      <c r="U1579" s="4" t="e">
        <f t="shared" si="299"/>
        <v>#REF!</v>
      </c>
      <c r="V1579" s="4" t="e">
        <f t="shared" si="299"/>
        <v>#REF!</v>
      </c>
      <c r="W1579" s="4">
        <f t="shared" si="299"/>
        <v>0</v>
      </c>
      <c r="X1579" s="4" t="e">
        <f t="shared" si="299"/>
        <v>#REF!</v>
      </c>
      <c r="Y1579" s="4"/>
      <c r="Z1579" s="4"/>
      <c r="AA1579" s="4"/>
      <c r="AB1579" s="4"/>
      <c r="AC1579" s="4"/>
      <c r="AD1579" s="4"/>
    </row>
    <row r="1580" spans="1:51" x14ac:dyDescent="0.2">
      <c r="A1580" s="18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  <c r="W1580" s="4"/>
      <c r="X1580" s="4"/>
      <c r="Y1580" s="30"/>
      <c r="Z1580" s="4"/>
      <c r="AA1580" s="4"/>
      <c r="AB1580" s="4"/>
      <c r="AC1580" s="4"/>
      <c r="AD1580" s="4"/>
    </row>
    <row r="1581" spans="1:51" x14ac:dyDescent="0.2">
      <c r="A1581" s="18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  <c r="U1581" s="4"/>
      <c r="V1581" s="4"/>
      <c r="W1581" s="4"/>
      <c r="X1581" s="4"/>
      <c r="Y1581" s="30"/>
      <c r="Z1581" s="4"/>
      <c r="AA1581" s="4"/>
      <c r="AB1581" s="4"/>
      <c r="AC1581" s="4"/>
      <c r="AD1581" s="4"/>
    </row>
    <row r="1582" spans="1:51" x14ac:dyDescent="0.2">
      <c r="A1582" s="18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  <c r="W1582" s="4"/>
      <c r="X1582" s="4"/>
      <c r="Y1582" s="4"/>
      <c r="Z1582" s="4"/>
      <c r="AA1582" s="4"/>
      <c r="AB1582" s="4"/>
      <c r="AC1582" s="4"/>
      <c r="AD1582" s="4"/>
    </row>
    <row r="1583" spans="1:51" x14ac:dyDescent="0.2">
      <c r="A1583" s="18"/>
      <c r="B1583" s="17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  <c r="U1583" s="4"/>
      <c r="V1583" s="4"/>
      <c r="W1583" s="4"/>
      <c r="X1583" s="4"/>
      <c r="Y1583" s="4"/>
      <c r="Z1583" s="4"/>
      <c r="AA1583" s="4"/>
      <c r="AB1583" s="4"/>
      <c r="AC1583" s="4"/>
      <c r="AD1583" s="4"/>
    </row>
    <row r="1584" spans="1:51" x14ac:dyDescent="0.2">
      <c r="A1584" s="18"/>
      <c r="B1584" s="17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  <c r="W1584" s="4"/>
      <c r="X1584" s="4"/>
      <c r="Y1584" s="4"/>
      <c r="Z1584" s="4"/>
      <c r="AA1584" s="4"/>
      <c r="AB1584" s="4"/>
      <c r="AC1584" s="4"/>
      <c r="AD1584" s="4"/>
    </row>
    <row r="1585" spans="1:30" x14ac:dyDescent="0.2">
      <c r="A1585" s="18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  <c r="U1585" s="4"/>
      <c r="V1585" s="4"/>
      <c r="W1585" s="4"/>
      <c r="X1585" s="4"/>
      <c r="Y1585" s="4"/>
      <c r="Z1585" s="4"/>
      <c r="AA1585" s="4"/>
      <c r="AB1585" s="4"/>
      <c r="AC1585" s="4"/>
      <c r="AD1585" s="4"/>
    </row>
    <row r="1586" spans="1:30" x14ac:dyDescent="0.2">
      <c r="A1586" s="18"/>
      <c r="B1586" s="17" t="s">
        <v>131</v>
      </c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  <c r="W1586" s="4"/>
      <c r="X1586" s="7"/>
      <c r="Y1586" s="88"/>
      <c r="Z1586" s="88"/>
      <c r="AA1586" s="4"/>
      <c r="AB1586" s="4"/>
      <c r="AC1586" s="4"/>
      <c r="AD1586" s="4"/>
    </row>
    <row r="1587" spans="1:30" x14ac:dyDescent="0.2">
      <c r="A1587" s="18"/>
      <c r="B1587" s="20" t="s">
        <v>1</v>
      </c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  <c r="U1587" s="4"/>
      <c r="V1587" s="4"/>
      <c r="W1587" s="4"/>
      <c r="X1587" s="4"/>
      <c r="Y1587" s="4"/>
      <c r="Z1587" s="4"/>
      <c r="AA1587" s="4"/>
      <c r="AB1587" s="4"/>
      <c r="AC1587" s="4"/>
      <c r="AD1587" s="4"/>
    </row>
    <row r="1588" spans="1:30" x14ac:dyDescent="0.2">
      <c r="A1588" s="18"/>
      <c r="B1588" s="17" t="s">
        <v>429</v>
      </c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  <c r="W1588" s="4"/>
      <c r="X1588" s="4"/>
      <c r="Y1588" s="4"/>
      <c r="Z1588" s="4"/>
      <c r="AA1588" s="4"/>
      <c r="AB1588" s="4"/>
      <c r="AC1588" s="4"/>
      <c r="AD1588" s="4"/>
    </row>
    <row r="1589" spans="1:30" x14ac:dyDescent="0.2">
      <c r="A1589" s="18"/>
      <c r="B1589" s="20" t="str">
        <f>+B3</f>
        <v>as of  DECEMBER 31, 2012</v>
      </c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  <c r="U1589" s="4"/>
      <c r="V1589" s="4"/>
      <c r="W1589" s="4"/>
      <c r="X1589" s="4"/>
      <c r="Y1589" s="4"/>
      <c r="Z1589" s="4"/>
      <c r="AA1589" s="4"/>
      <c r="AB1589" s="4"/>
      <c r="AC1589" s="4"/>
      <c r="AD1589" s="4"/>
    </row>
    <row r="1590" spans="1:30" x14ac:dyDescent="0.2">
      <c r="A1590" s="18"/>
      <c r="B1590" s="20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  <c r="W1590" s="4"/>
      <c r="X1590" s="4"/>
      <c r="Y1590" s="4"/>
      <c r="Z1590" s="4"/>
      <c r="AA1590" s="4"/>
      <c r="AB1590" s="4"/>
      <c r="AC1590" s="4"/>
      <c r="AD1590" s="4"/>
    </row>
    <row r="1591" spans="1:30" x14ac:dyDescent="0.2">
      <c r="A1591" s="18"/>
      <c r="B1591" s="20"/>
      <c r="D1591" s="6" t="s">
        <v>3</v>
      </c>
      <c r="E1591" s="6" t="s">
        <v>4</v>
      </c>
      <c r="F1591" s="6" t="s">
        <v>5</v>
      </c>
      <c r="G1591" s="6"/>
      <c r="H1591" s="7"/>
      <c r="I1591" s="6" t="s">
        <v>6</v>
      </c>
      <c r="J1591" s="6" t="s">
        <v>7</v>
      </c>
      <c r="K1591" s="6" t="s">
        <v>8</v>
      </c>
      <c r="L1591" s="6" t="s">
        <v>9</v>
      </c>
      <c r="M1591" s="6"/>
      <c r="N1591" s="6" t="s">
        <v>10</v>
      </c>
      <c r="O1591" s="6" t="s">
        <v>11</v>
      </c>
      <c r="P1591" s="6" t="s">
        <v>5</v>
      </c>
      <c r="Q1591" s="6"/>
      <c r="R1591" s="7"/>
      <c r="S1591" s="6" t="s">
        <v>12</v>
      </c>
      <c r="T1591" s="6" t="s">
        <v>7</v>
      </c>
      <c r="U1591" s="6" t="s">
        <v>8</v>
      </c>
      <c r="V1591" s="6" t="s">
        <v>13</v>
      </c>
      <c r="W1591" s="6"/>
      <c r="X1591" s="6" t="s">
        <v>5</v>
      </c>
      <c r="Y1591" s="6" t="s">
        <v>14</v>
      </c>
      <c r="Z1591" s="6" t="s">
        <v>15</v>
      </c>
      <c r="AA1591" s="4"/>
      <c r="AB1591" s="4"/>
      <c r="AC1591" s="4"/>
      <c r="AD1591" s="4"/>
    </row>
    <row r="1592" spans="1:30" x14ac:dyDescent="0.2">
      <c r="A1592" s="18"/>
      <c r="B1592" s="11"/>
      <c r="C1592" s="11"/>
      <c r="D1592" s="12" t="s">
        <v>17</v>
      </c>
      <c r="E1592" s="12" t="s">
        <v>18</v>
      </c>
      <c r="F1592" s="12" t="s">
        <v>19</v>
      </c>
      <c r="G1592" s="12"/>
      <c r="H1592" s="13" t="s">
        <v>408</v>
      </c>
      <c r="I1592" s="12"/>
      <c r="J1592" s="12"/>
      <c r="K1592" s="12"/>
      <c r="L1592" s="12"/>
      <c r="M1592" s="12"/>
      <c r="N1592" s="12"/>
      <c r="O1592" s="12"/>
      <c r="P1592" s="12"/>
      <c r="Q1592" s="12"/>
      <c r="R1592" s="12"/>
      <c r="S1592" s="12" t="s">
        <v>21</v>
      </c>
      <c r="T1592" s="12" t="s">
        <v>22</v>
      </c>
      <c r="U1592" s="12" t="s">
        <v>23</v>
      </c>
      <c r="V1592" s="12" t="s">
        <v>12</v>
      </c>
      <c r="W1592" s="12"/>
      <c r="X1592" s="12" t="s">
        <v>24</v>
      </c>
      <c r="Y1592" s="6" t="s">
        <v>5</v>
      </c>
      <c r="Z1592" s="12" t="s">
        <v>16</v>
      </c>
      <c r="AA1592" s="6" t="s">
        <v>121</v>
      </c>
      <c r="AB1592" s="6" t="s">
        <v>15</v>
      </c>
      <c r="AC1592" s="6"/>
      <c r="AD1592" s="6"/>
    </row>
    <row r="1593" spans="1:30" x14ac:dyDescent="0.2">
      <c r="A1593" s="18"/>
      <c r="B1593" s="11"/>
      <c r="C1593" s="11"/>
      <c r="D1593" s="16" t="s">
        <v>15</v>
      </c>
      <c r="E1593" s="16"/>
      <c r="F1593" s="16"/>
      <c r="G1593" s="16"/>
      <c r="H1593" s="16" t="s">
        <v>9</v>
      </c>
      <c r="I1593" s="16"/>
      <c r="J1593" s="16"/>
      <c r="K1593" s="16"/>
      <c r="L1593" s="16"/>
      <c r="M1593" s="16"/>
      <c r="N1593" s="16"/>
      <c r="O1593" s="16"/>
      <c r="P1593" s="16"/>
      <c r="Q1593" s="16"/>
      <c r="R1593" s="16" t="s">
        <v>33</v>
      </c>
      <c r="S1593" s="16"/>
      <c r="T1593" s="16"/>
      <c r="U1593" s="16"/>
      <c r="V1593" s="16"/>
      <c r="W1593" s="16"/>
      <c r="X1593" s="16"/>
      <c r="Y1593" s="16" t="s">
        <v>30</v>
      </c>
      <c r="Z1593" s="16" t="s">
        <v>30</v>
      </c>
      <c r="AA1593" s="6" t="s">
        <v>5</v>
      </c>
      <c r="AB1593" s="6" t="s">
        <v>16</v>
      </c>
      <c r="AC1593" s="6"/>
      <c r="AD1593" s="6"/>
    </row>
    <row r="1594" spans="1:30" x14ac:dyDescent="0.2">
      <c r="A1594" s="18"/>
      <c r="B1594" s="10"/>
      <c r="C1594" s="11"/>
      <c r="D1594" s="12"/>
      <c r="E1594" s="12"/>
      <c r="F1594" s="12"/>
      <c r="G1594" s="12"/>
      <c r="H1594" s="12"/>
      <c r="I1594" s="12"/>
      <c r="J1594" s="12"/>
      <c r="K1594" s="12"/>
      <c r="L1594" s="12"/>
      <c r="M1594" s="12"/>
      <c r="N1594" s="12"/>
      <c r="O1594" s="12"/>
      <c r="P1594" s="12"/>
      <c r="Q1594" s="12"/>
      <c r="R1594" s="12"/>
      <c r="S1594" s="12"/>
      <c r="T1594" s="12"/>
      <c r="U1594" s="12"/>
      <c r="V1594" s="12"/>
      <c r="W1594" s="12"/>
      <c r="X1594" s="12"/>
      <c r="Y1594" s="12"/>
      <c r="Z1594" s="12"/>
      <c r="AA1594" s="16" t="s">
        <v>25</v>
      </c>
      <c r="AB1594" s="16" t="s">
        <v>25</v>
      </c>
      <c r="AC1594" s="12"/>
      <c r="AD1594" s="12"/>
    </row>
    <row r="1595" spans="1:30" x14ac:dyDescent="0.2">
      <c r="A1595" s="18"/>
      <c r="B1595" s="11"/>
      <c r="C1595" s="10"/>
      <c r="D1595" s="71"/>
      <c r="E1595" s="71"/>
      <c r="F1595" s="71"/>
      <c r="G1595" s="71"/>
      <c r="H1595" s="71"/>
      <c r="I1595" s="71"/>
      <c r="J1595" s="71"/>
      <c r="K1595" s="71"/>
      <c r="L1595" s="71"/>
      <c r="M1595" s="71"/>
      <c r="N1595" s="71"/>
      <c r="O1595" s="71"/>
      <c r="P1595" s="71"/>
      <c r="Q1595" s="71"/>
      <c r="R1595" s="71"/>
      <c r="S1595" s="71"/>
      <c r="T1595" s="71"/>
      <c r="U1595" s="71"/>
      <c r="V1595" s="71"/>
      <c r="W1595" s="71"/>
      <c r="X1595" s="71"/>
      <c r="Y1595" s="71"/>
      <c r="Z1595" s="71"/>
      <c r="AA1595" s="4"/>
      <c r="AB1595" s="4"/>
      <c r="AC1595" s="4"/>
      <c r="AD1595" s="4"/>
    </row>
    <row r="1596" spans="1:30" x14ac:dyDescent="0.2">
      <c r="A1596" s="18"/>
      <c r="B1596" s="17" t="s">
        <v>49</v>
      </c>
      <c r="D1596" s="19">
        <f>+D95</f>
        <v>6175650.9122200012</v>
      </c>
      <c r="E1596" s="19">
        <f>+E95</f>
        <v>125982.24082000001</v>
      </c>
      <c r="F1596" s="19">
        <f>+F95</f>
        <v>60000</v>
      </c>
      <c r="G1596" s="19"/>
      <c r="H1596" s="19">
        <f>+H95</f>
        <v>5779846.5245200004</v>
      </c>
      <c r="I1596" s="19">
        <f>+I95</f>
        <v>0</v>
      </c>
      <c r="J1596" s="19">
        <f>+J95</f>
        <v>0</v>
      </c>
      <c r="K1596" s="19">
        <f>+K95</f>
        <v>0</v>
      </c>
      <c r="L1596" s="19">
        <f>+L95</f>
        <v>0</v>
      </c>
      <c r="M1596" s="19"/>
      <c r="N1596" s="19">
        <f>+N95</f>
        <v>185982.24081999998</v>
      </c>
      <c r="O1596" s="19">
        <f>+O95</f>
        <v>29010.53615</v>
      </c>
      <c r="P1596" s="19" t="e">
        <f>+P95</f>
        <v>#VALUE!</v>
      </c>
      <c r="Q1596" s="19"/>
      <c r="R1596" s="19">
        <f>+R95</f>
        <v>32209.215660000002</v>
      </c>
      <c r="S1596" s="19">
        <f>+S95</f>
        <v>11620.82186</v>
      </c>
      <c r="T1596" s="19">
        <f>+T95</f>
        <v>5298.8419599999997</v>
      </c>
      <c r="U1596" s="19">
        <f>+U95</f>
        <v>0</v>
      </c>
      <c r="V1596" s="19">
        <f>+V95</f>
        <v>0</v>
      </c>
      <c r="W1596" s="19"/>
      <c r="X1596" s="19">
        <f>+X95</f>
        <v>29533.378549999998</v>
      </c>
      <c r="Y1596" s="19">
        <f>+H1596+R1596</f>
        <v>5812055.7401800007</v>
      </c>
      <c r="Z1596" s="19">
        <f>+Z95-1</f>
        <v>363594.56877999991</v>
      </c>
      <c r="AA1596" s="7">
        <f>+AA95</f>
        <v>215515.61937</v>
      </c>
      <c r="AB1596" s="7">
        <f>+AB95</f>
        <v>489534.66605</v>
      </c>
      <c r="AC1596" s="7"/>
      <c r="AD1596" s="7"/>
    </row>
    <row r="1597" spans="1:30" x14ac:dyDescent="0.2">
      <c r="A1597" s="18"/>
      <c r="B1597" s="17"/>
      <c r="D1597" s="19"/>
      <c r="E1597" s="19"/>
      <c r="F1597" s="19"/>
      <c r="G1597" s="19"/>
      <c r="H1597" s="19"/>
      <c r="I1597" s="19"/>
      <c r="J1597" s="19"/>
      <c r="K1597" s="19"/>
      <c r="L1597" s="19"/>
      <c r="M1597" s="19"/>
      <c r="N1597" s="19"/>
      <c r="O1597" s="19"/>
      <c r="P1597" s="19"/>
      <c r="Q1597" s="19"/>
      <c r="R1597" s="19"/>
      <c r="S1597" s="19"/>
      <c r="T1597" s="19"/>
      <c r="U1597" s="19"/>
      <c r="V1597" s="19"/>
      <c r="W1597" s="19"/>
      <c r="X1597" s="19"/>
      <c r="Y1597" s="19"/>
      <c r="Z1597" s="19"/>
      <c r="AA1597" s="7"/>
      <c r="AB1597" s="7"/>
      <c r="AC1597" s="7"/>
      <c r="AD1597" s="7"/>
    </row>
    <row r="1598" spans="1:30" x14ac:dyDescent="0.2">
      <c r="A1598" s="18"/>
      <c r="B1598" s="3" t="s">
        <v>122</v>
      </c>
      <c r="D1598" s="30">
        <f>+D162</f>
        <v>512643.02825999999</v>
      </c>
      <c r="E1598" s="30">
        <f>+E162</f>
        <v>101413.15213999999</v>
      </c>
      <c r="F1598" s="30">
        <f>+F162</f>
        <v>4000</v>
      </c>
      <c r="G1598" s="30"/>
      <c r="H1598" s="30">
        <f>+H162</f>
        <v>399362.03599</v>
      </c>
      <c r="I1598" s="30">
        <f>+I162</f>
        <v>0</v>
      </c>
      <c r="J1598" s="30">
        <f>+J162</f>
        <v>0</v>
      </c>
      <c r="K1598" s="30">
        <f>+K162</f>
        <v>0</v>
      </c>
      <c r="L1598" s="30">
        <f>+L162</f>
        <v>0</v>
      </c>
      <c r="M1598" s="30"/>
      <c r="N1598" s="30">
        <f>+N162</f>
        <v>105413.15213999999</v>
      </c>
      <c r="O1598" s="30">
        <f>+O162</f>
        <v>48290.838080000001</v>
      </c>
      <c r="P1598" s="30">
        <f>+P162</f>
        <v>0</v>
      </c>
      <c r="Q1598" s="30"/>
      <c r="R1598" s="30">
        <f>+R162</f>
        <v>48388.053000000007</v>
      </c>
      <c r="S1598" s="30">
        <f>+S162</f>
        <v>0</v>
      </c>
      <c r="T1598" s="30">
        <f>+T162</f>
        <v>0</v>
      </c>
      <c r="U1598" s="30">
        <f>+U162</f>
        <v>0</v>
      </c>
      <c r="V1598" s="30">
        <f>+V162</f>
        <v>0</v>
      </c>
      <c r="W1598" s="30"/>
      <c r="X1598" s="30">
        <f>+X162</f>
        <v>48290.838080000001</v>
      </c>
      <c r="Y1598" s="19">
        <f t="shared" ref="Y1598:Y1624" si="300">+H1598+R1598</f>
        <v>447750.08899000002</v>
      </c>
      <c r="Z1598" s="19">
        <f>+Z162</f>
        <v>64892.939269999995</v>
      </c>
      <c r="AA1598" s="4">
        <f>+AA162</f>
        <v>86276.087770000013</v>
      </c>
      <c r="AB1598" s="4">
        <f>+AB162</f>
        <v>13895.97739</v>
      </c>
      <c r="AC1598" s="4"/>
      <c r="AD1598" s="4"/>
    </row>
    <row r="1599" spans="1:30" x14ac:dyDescent="0.2">
      <c r="A1599" s="18"/>
      <c r="B1599" s="17"/>
      <c r="D1599" s="19"/>
      <c r="E1599" s="19"/>
      <c r="F1599" s="19"/>
      <c r="G1599" s="19"/>
      <c r="H1599" s="19"/>
      <c r="I1599" s="19"/>
      <c r="J1599" s="19"/>
      <c r="K1599" s="19"/>
      <c r="L1599" s="19"/>
      <c r="M1599" s="19"/>
      <c r="N1599" s="19"/>
      <c r="O1599" s="19"/>
      <c r="P1599" s="19"/>
      <c r="Q1599" s="19"/>
      <c r="R1599" s="19"/>
      <c r="S1599" s="19"/>
      <c r="T1599" s="19"/>
      <c r="U1599" s="19"/>
      <c r="V1599" s="19"/>
      <c r="W1599" s="19"/>
      <c r="X1599" s="19"/>
      <c r="Y1599" s="19"/>
      <c r="Z1599" s="19"/>
      <c r="AA1599" s="7"/>
      <c r="AB1599" s="7"/>
      <c r="AC1599" s="7"/>
      <c r="AD1599" s="7"/>
    </row>
    <row r="1600" spans="1:30" x14ac:dyDescent="0.2">
      <c r="A1600" s="18"/>
      <c r="B1600" s="17" t="s">
        <v>124</v>
      </c>
      <c r="D1600" s="19">
        <f>+D265+1</f>
        <v>5322010.4176500011</v>
      </c>
      <c r="E1600" s="19">
        <f>+E265</f>
        <v>623521.12477600004</v>
      </c>
      <c r="F1600" s="19">
        <f>+F265</f>
        <v>82000</v>
      </c>
      <c r="G1600" s="19"/>
      <c r="H1600" s="19">
        <f>+H265</f>
        <v>4963652.0648499997</v>
      </c>
      <c r="I1600" s="19">
        <f>+I265</f>
        <v>0</v>
      </c>
      <c r="J1600" s="19">
        <f>+J265</f>
        <v>0</v>
      </c>
      <c r="K1600" s="19">
        <f>+K265</f>
        <v>0</v>
      </c>
      <c r="L1600" s="19">
        <f>+L265</f>
        <v>0</v>
      </c>
      <c r="M1600" s="19"/>
      <c r="N1600" s="19">
        <f>+N265</f>
        <v>705521.12477600004</v>
      </c>
      <c r="O1600" s="19">
        <f>+O265</f>
        <v>114705.74331999999</v>
      </c>
      <c r="P1600" s="19">
        <f>+P265</f>
        <v>0</v>
      </c>
      <c r="Q1600" s="19"/>
      <c r="R1600" s="19">
        <f>+R265</f>
        <v>119442.46161</v>
      </c>
      <c r="S1600" s="19">
        <f>+S265</f>
        <v>0</v>
      </c>
      <c r="T1600" s="19">
        <f>+T265</f>
        <v>0</v>
      </c>
      <c r="U1600" s="19">
        <f>+U265</f>
        <v>0</v>
      </c>
      <c r="V1600" s="19">
        <f>+V265</f>
        <v>0</v>
      </c>
      <c r="W1600" s="19"/>
      <c r="X1600" s="19">
        <f>+X265</f>
        <v>114705.74331999999</v>
      </c>
      <c r="Y1600" s="19">
        <f t="shared" si="300"/>
        <v>5083094.5264599994</v>
      </c>
      <c r="Z1600" s="19">
        <f>+Z265</f>
        <v>238915.29124999998</v>
      </c>
      <c r="AA1600" s="7" t="e">
        <f>+AA265</f>
        <v>#VALUE!</v>
      </c>
      <c r="AB1600" s="7" t="e">
        <f>+AB265</f>
        <v>#VALUE!</v>
      </c>
      <c r="AC1600" s="7"/>
      <c r="AD1600" s="7"/>
    </row>
    <row r="1601" spans="1:30" x14ac:dyDescent="0.2">
      <c r="A1601" s="18"/>
      <c r="D1601" s="30"/>
      <c r="E1601" s="30"/>
      <c r="F1601" s="30"/>
      <c r="G1601" s="30"/>
      <c r="H1601" s="30"/>
      <c r="I1601" s="30"/>
      <c r="J1601" s="30"/>
      <c r="K1601" s="30"/>
      <c r="L1601" s="30"/>
      <c r="M1601" s="30"/>
      <c r="N1601" s="30"/>
      <c r="O1601" s="30"/>
      <c r="P1601" s="30"/>
      <c r="Q1601" s="30"/>
      <c r="R1601" s="30"/>
      <c r="S1601" s="30"/>
      <c r="T1601" s="30"/>
      <c r="U1601" s="30"/>
      <c r="V1601" s="30"/>
      <c r="W1601" s="30"/>
      <c r="X1601" s="30"/>
      <c r="Y1601" s="19"/>
      <c r="Z1601" s="30"/>
      <c r="AA1601" s="4"/>
      <c r="AB1601" s="4"/>
      <c r="AC1601" s="4"/>
      <c r="AD1601" s="4"/>
    </row>
    <row r="1602" spans="1:30" x14ac:dyDescent="0.2">
      <c r="A1602" s="18"/>
      <c r="B1602" s="17" t="s">
        <v>158</v>
      </c>
      <c r="D1602" s="19">
        <f>+D453</f>
        <v>5170744.1804299997</v>
      </c>
      <c r="E1602" s="19">
        <f>+E453</f>
        <v>810693.27744000009</v>
      </c>
      <c r="F1602" s="19">
        <f>+F453</f>
        <v>30660.93316</v>
      </c>
      <c r="G1602" s="19"/>
      <c r="H1602" s="19">
        <f>+H453</f>
        <v>3742807.6796599999</v>
      </c>
      <c r="I1602" s="19">
        <f>+I453</f>
        <v>0</v>
      </c>
      <c r="J1602" s="19">
        <f>+J453</f>
        <v>0</v>
      </c>
      <c r="K1602" s="19">
        <f>+K453</f>
        <v>0</v>
      </c>
      <c r="L1602" s="19">
        <f>+L453</f>
        <v>0</v>
      </c>
      <c r="M1602" s="19"/>
      <c r="N1602" s="19">
        <f>+N453</f>
        <v>841354.21059999999</v>
      </c>
      <c r="O1602" s="19">
        <f>+O453</f>
        <v>155379.06977999999</v>
      </c>
      <c r="P1602" s="19">
        <f>+P453</f>
        <v>0</v>
      </c>
      <c r="Q1602" s="19"/>
      <c r="R1602" s="19">
        <f>+R453</f>
        <v>173192.72714999999</v>
      </c>
      <c r="S1602" s="19">
        <f>+S453</f>
        <v>1690.0005999999998</v>
      </c>
      <c r="T1602" s="19">
        <f>+T453</f>
        <v>210.2466</v>
      </c>
      <c r="U1602" s="19">
        <f>+U453</f>
        <v>0</v>
      </c>
      <c r="V1602" s="19">
        <f>+V453</f>
        <v>0</v>
      </c>
      <c r="W1602" s="19"/>
      <c r="X1602" s="19">
        <f>+X453</f>
        <v>155379.06977999999</v>
      </c>
      <c r="Y1602" s="19">
        <f t="shared" si="300"/>
        <v>3916000.4068100001</v>
      </c>
      <c r="Z1602" s="19">
        <f>+Z453</f>
        <v>1254743.7735000001</v>
      </c>
      <c r="AA1602" s="7">
        <f>+AA453</f>
        <v>996733.28038000001</v>
      </c>
      <c r="AB1602" s="7">
        <f>+AB453</f>
        <v>640168.31458000012</v>
      </c>
      <c r="AC1602" s="7"/>
      <c r="AD1602" s="7"/>
    </row>
    <row r="1603" spans="1:30" x14ac:dyDescent="0.2">
      <c r="A1603" s="18"/>
      <c r="B1603" s="17"/>
      <c r="D1603" s="19"/>
      <c r="E1603" s="19"/>
      <c r="F1603" s="19"/>
      <c r="G1603" s="19"/>
      <c r="H1603" s="19"/>
      <c r="I1603" s="19"/>
      <c r="J1603" s="19"/>
      <c r="K1603" s="19"/>
      <c r="L1603" s="19"/>
      <c r="M1603" s="19"/>
      <c r="N1603" s="19"/>
      <c r="O1603" s="19"/>
      <c r="P1603" s="19"/>
      <c r="Q1603" s="19"/>
      <c r="R1603" s="19"/>
      <c r="S1603" s="19"/>
      <c r="T1603" s="19"/>
      <c r="U1603" s="19"/>
      <c r="V1603" s="19"/>
      <c r="W1603" s="19"/>
      <c r="X1603" s="19"/>
      <c r="Y1603" s="19"/>
      <c r="Z1603" s="19"/>
      <c r="AA1603" s="7"/>
      <c r="AB1603" s="7"/>
      <c r="AC1603" s="7"/>
      <c r="AD1603" s="7"/>
    </row>
    <row r="1604" spans="1:30" x14ac:dyDescent="0.2">
      <c r="A1604" s="18"/>
      <c r="B1604" s="3" t="s">
        <v>203</v>
      </c>
      <c r="D1604" s="30">
        <f>+D616</f>
        <v>3766709.5405200003</v>
      </c>
      <c r="E1604" s="30">
        <f>+E616</f>
        <v>123933.44157</v>
      </c>
      <c r="F1604" s="30">
        <f>+F616</f>
        <v>0</v>
      </c>
      <c r="G1604" s="30"/>
      <c r="H1604" s="30">
        <f>+H616</f>
        <v>3285085.1903100004</v>
      </c>
      <c r="I1604" s="30">
        <f>+I616</f>
        <v>0</v>
      </c>
      <c r="J1604" s="30">
        <f>+J616</f>
        <v>0</v>
      </c>
      <c r="K1604" s="30">
        <f>+K616</f>
        <v>0</v>
      </c>
      <c r="L1604" s="30">
        <f>+L616</f>
        <v>0</v>
      </c>
      <c r="M1604" s="30"/>
      <c r="N1604" s="30">
        <f>+N616</f>
        <v>123933.44157</v>
      </c>
      <c r="O1604" s="30">
        <f>+O616</f>
        <v>169989.01484999998</v>
      </c>
      <c r="P1604" s="30">
        <f>+P616</f>
        <v>0</v>
      </c>
      <c r="Q1604" s="30"/>
      <c r="R1604" s="30">
        <f>+R616</f>
        <v>175155.29417000004</v>
      </c>
      <c r="S1604" s="30">
        <f>+S616</f>
        <v>0</v>
      </c>
      <c r="T1604" s="30">
        <f>+T616</f>
        <v>0</v>
      </c>
      <c r="U1604" s="30">
        <f>+U616</f>
        <v>0</v>
      </c>
      <c r="V1604" s="30">
        <f>+V616</f>
        <v>0</v>
      </c>
      <c r="W1604" s="30"/>
      <c r="X1604" s="30">
        <f>+X616</f>
        <v>169989.01484999998</v>
      </c>
      <c r="Y1604" s="19">
        <f t="shared" si="300"/>
        <v>3460240.4844800006</v>
      </c>
      <c r="Z1604" s="19">
        <f>+Z616</f>
        <v>306469.05625999998</v>
      </c>
      <c r="AA1604" s="4">
        <f>+AA616</f>
        <v>293922.45642000006</v>
      </c>
      <c r="AB1604" s="4">
        <f>+AB616</f>
        <v>393210.72782000003</v>
      </c>
      <c r="AC1604" s="4"/>
      <c r="AD1604" s="4"/>
    </row>
    <row r="1605" spans="1:30" x14ac:dyDescent="0.2">
      <c r="A1605" s="18"/>
      <c r="B1605" s="17"/>
      <c r="D1605" s="19"/>
      <c r="E1605" s="19"/>
      <c r="F1605" s="19"/>
      <c r="G1605" s="19"/>
      <c r="H1605" s="19"/>
      <c r="I1605" s="19"/>
      <c r="J1605" s="19"/>
      <c r="K1605" s="19"/>
      <c r="L1605" s="19"/>
      <c r="M1605" s="19"/>
      <c r="N1605" s="19"/>
      <c r="O1605" s="19"/>
      <c r="P1605" s="19"/>
      <c r="Q1605" s="19"/>
      <c r="R1605" s="19"/>
      <c r="S1605" s="19"/>
      <c r="T1605" s="19"/>
      <c r="U1605" s="19"/>
      <c r="V1605" s="19"/>
      <c r="W1605" s="19"/>
      <c r="X1605" s="19"/>
      <c r="Y1605" s="19"/>
      <c r="Z1605" s="19"/>
      <c r="AA1605" s="7"/>
      <c r="AB1605" s="7"/>
      <c r="AC1605" s="7"/>
      <c r="AD1605" s="7"/>
    </row>
    <row r="1606" spans="1:30" x14ac:dyDescent="0.2">
      <c r="A1606" s="18"/>
      <c r="B1606" s="17" t="s">
        <v>232</v>
      </c>
      <c r="D1606" s="19">
        <f>+D752</f>
        <v>1965467.7019700001</v>
      </c>
      <c r="E1606" s="19" t="e">
        <f>+E752</f>
        <v>#REF!</v>
      </c>
      <c r="F1606" s="19" t="e">
        <f>+F752</f>
        <v>#REF!</v>
      </c>
      <c r="G1606" s="19"/>
      <c r="H1606" s="19">
        <f>+H752</f>
        <v>1236051.50333</v>
      </c>
      <c r="I1606" s="19" t="e">
        <f>+I752</f>
        <v>#REF!</v>
      </c>
      <c r="J1606" s="19" t="e">
        <f>+J752</f>
        <v>#REF!</v>
      </c>
      <c r="K1606" s="19" t="e">
        <f>+K752</f>
        <v>#REF!</v>
      </c>
      <c r="L1606" s="19" t="e">
        <f>+L752</f>
        <v>#REF!</v>
      </c>
      <c r="M1606" s="19"/>
      <c r="N1606" s="19" t="e">
        <f>+N752</f>
        <v>#REF!</v>
      </c>
      <c r="O1606" s="19" t="e">
        <f>+O752</f>
        <v>#REF!</v>
      </c>
      <c r="P1606" s="19" t="e">
        <f>+P752</f>
        <v>#REF!</v>
      </c>
      <c r="Q1606" s="19"/>
      <c r="R1606" s="19">
        <f>+R752</f>
        <v>130531.24608</v>
      </c>
      <c r="S1606" s="19" t="e">
        <f>+S752</f>
        <v>#REF!</v>
      </c>
      <c r="T1606" s="19" t="e">
        <f>+T752</f>
        <v>#REF!</v>
      </c>
      <c r="U1606" s="19" t="e">
        <f>+U752</f>
        <v>#REF!</v>
      </c>
      <c r="V1606" s="19" t="e">
        <f>+V752</f>
        <v>#REF!</v>
      </c>
      <c r="W1606" s="19"/>
      <c r="X1606" s="19" t="e">
        <f>+X752</f>
        <v>#REF!</v>
      </c>
      <c r="Y1606" s="19">
        <f t="shared" si="300"/>
        <v>1366582.7494099999</v>
      </c>
      <c r="Z1606" s="19">
        <f>+Z752</f>
        <v>598884.95256000001</v>
      </c>
      <c r="AA1606" s="7" t="e">
        <f>+AA752</f>
        <v>#REF!</v>
      </c>
      <c r="AB1606" s="7" t="e">
        <f>+AB752</f>
        <v>#REF!</v>
      </c>
      <c r="AC1606" s="7"/>
      <c r="AD1606" s="7"/>
    </row>
    <row r="1607" spans="1:30" x14ac:dyDescent="0.2">
      <c r="A1607" s="18"/>
      <c r="D1607" s="30"/>
      <c r="E1607" s="30"/>
      <c r="F1607" s="30"/>
      <c r="G1607" s="30"/>
      <c r="H1607" s="30"/>
      <c r="I1607" s="30"/>
      <c r="J1607" s="30"/>
      <c r="K1607" s="30"/>
      <c r="L1607" s="30"/>
      <c r="M1607" s="30"/>
      <c r="N1607" s="30"/>
      <c r="O1607" s="30"/>
      <c r="P1607" s="30"/>
      <c r="Q1607" s="30"/>
      <c r="R1607" s="30"/>
      <c r="S1607" s="30"/>
      <c r="T1607" s="30"/>
      <c r="U1607" s="30"/>
      <c r="V1607" s="30"/>
      <c r="W1607" s="30"/>
      <c r="X1607" s="30"/>
      <c r="Y1607" s="19"/>
      <c r="Z1607" s="30"/>
      <c r="AA1607" s="7"/>
      <c r="AB1607" s="7"/>
      <c r="AC1607" s="7"/>
      <c r="AD1607" s="7"/>
    </row>
    <row r="1608" spans="1:30" x14ac:dyDescent="0.2">
      <c r="A1608" s="18"/>
      <c r="B1608" s="17" t="s">
        <v>257</v>
      </c>
      <c r="D1608" s="19">
        <f>+D883-1</f>
        <v>5506766.5822299998</v>
      </c>
      <c r="E1608" s="19">
        <f>+E883</f>
        <v>624710.89803000004</v>
      </c>
      <c r="F1608" s="19">
        <f>+F883</f>
        <v>102000</v>
      </c>
      <c r="G1608" s="19"/>
      <c r="H1608" s="19">
        <f>+H883</f>
        <v>5198983.8485999992</v>
      </c>
      <c r="I1608" s="19">
        <f>+I883</f>
        <v>0</v>
      </c>
      <c r="J1608" s="19">
        <f>+J883</f>
        <v>0</v>
      </c>
      <c r="K1608" s="19">
        <f>+K883</f>
        <v>0</v>
      </c>
      <c r="L1608" s="19">
        <f>+L883</f>
        <v>0</v>
      </c>
      <c r="M1608" s="19"/>
      <c r="N1608" s="19">
        <f>+N883</f>
        <v>781710.89786999999</v>
      </c>
      <c r="O1608" s="19">
        <f>+O883</f>
        <v>51047.303720000004</v>
      </c>
      <c r="P1608" s="19">
        <f>+P883</f>
        <v>0</v>
      </c>
      <c r="Q1608" s="19"/>
      <c r="R1608" s="19">
        <f>+R883</f>
        <v>52859.038740000004</v>
      </c>
      <c r="S1608" s="19">
        <f>+S883</f>
        <v>0</v>
      </c>
      <c r="T1608" s="19">
        <f>+T883</f>
        <v>0</v>
      </c>
      <c r="U1608" s="19">
        <f>+U883</f>
        <v>0</v>
      </c>
      <c r="V1608" s="19">
        <f>+V883</f>
        <v>0</v>
      </c>
      <c r="W1608" s="19"/>
      <c r="X1608" s="19">
        <f>+X883</f>
        <v>51046.551520000001</v>
      </c>
      <c r="Y1608" s="19">
        <f t="shared" si="300"/>
        <v>5251842.887339999</v>
      </c>
      <c r="Z1608" s="19">
        <f>+Z883</f>
        <v>254924.69670999999</v>
      </c>
      <c r="AA1608" s="7">
        <f>+AA883</f>
        <v>832757.44938999997</v>
      </c>
      <c r="AB1608" s="7">
        <f>+AB883</f>
        <v>453303.51119999995</v>
      </c>
      <c r="AC1608" s="7"/>
      <c r="AD1608" s="7"/>
    </row>
    <row r="1609" spans="1:30" x14ac:dyDescent="0.2">
      <c r="A1609" s="18"/>
      <c r="B1609" s="17"/>
      <c r="D1609" s="19"/>
      <c r="E1609" s="19"/>
      <c r="F1609" s="19"/>
      <c r="G1609" s="19"/>
      <c r="H1609" s="19"/>
      <c r="I1609" s="19"/>
      <c r="J1609" s="19"/>
      <c r="K1609" s="19"/>
      <c r="L1609" s="19"/>
      <c r="M1609" s="19"/>
      <c r="N1609" s="19"/>
      <c r="O1609" s="19"/>
      <c r="P1609" s="19"/>
      <c r="Q1609" s="19"/>
      <c r="R1609" s="19"/>
      <c r="S1609" s="19"/>
      <c r="T1609" s="19"/>
      <c r="U1609" s="19"/>
      <c r="V1609" s="19"/>
      <c r="W1609" s="19"/>
      <c r="X1609" s="19"/>
      <c r="Y1609" s="19"/>
      <c r="Z1609" s="19"/>
      <c r="AA1609" s="7"/>
      <c r="AB1609" s="7"/>
      <c r="AC1609" s="7"/>
      <c r="AD1609" s="7"/>
    </row>
    <row r="1610" spans="1:30" x14ac:dyDescent="0.2">
      <c r="A1610" s="18"/>
      <c r="B1610" s="3" t="s">
        <v>281</v>
      </c>
      <c r="D1610" s="30">
        <f>+D987</f>
        <v>876955.34986999992</v>
      </c>
      <c r="E1610" s="30">
        <f>+E987</f>
        <v>40516.243499999997</v>
      </c>
      <c r="F1610" s="30">
        <f>+F987</f>
        <v>1500</v>
      </c>
      <c r="G1610" s="30"/>
      <c r="H1610" s="30">
        <f>+H987</f>
        <v>580815.17465000006</v>
      </c>
      <c r="I1610" s="30">
        <f>+I987</f>
        <v>0</v>
      </c>
      <c r="J1610" s="30">
        <f>+J987</f>
        <v>0</v>
      </c>
      <c r="K1610" s="30">
        <f>+K987</f>
        <v>0</v>
      </c>
      <c r="L1610" s="30">
        <f>+L987</f>
        <v>0</v>
      </c>
      <c r="M1610" s="30"/>
      <c r="N1610" s="30">
        <f>+N987</f>
        <v>42016.243499999997</v>
      </c>
      <c r="O1610" s="30">
        <f>+O987</f>
        <v>14548.389009999999</v>
      </c>
      <c r="P1610" s="30">
        <f>+P987</f>
        <v>0</v>
      </c>
      <c r="Q1610" s="30"/>
      <c r="R1610" s="30">
        <f>+R987</f>
        <v>14548.411899999999</v>
      </c>
      <c r="S1610" s="30">
        <f>+S987</f>
        <v>0</v>
      </c>
      <c r="T1610" s="30">
        <f>+T987</f>
        <v>0</v>
      </c>
      <c r="U1610" s="30">
        <f>+U987</f>
        <v>0</v>
      </c>
      <c r="V1610" s="30">
        <f>+V987</f>
        <v>0</v>
      </c>
      <c r="W1610" s="30"/>
      <c r="X1610" s="30">
        <f>+X987</f>
        <v>14548.389009999999</v>
      </c>
      <c r="Y1610" s="19">
        <f t="shared" si="300"/>
        <v>595363.58655000001</v>
      </c>
      <c r="Z1610" s="19">
        <f>+Z987</f>
        <v>281591.76332000003</v>
      </c>
      <c r="AA1610" s="4">
        <f>+AA987</f>
        <v>56564.632510000003</v>
      </c>
      <c r="AB1610" s="4">
        <f>+AB987</f>
        <v>131444.87508999999</v>
      </c>
      <c r="AC1610" s="4"/>
      <c r="AD1610" s="4"/>
    </row>
    <row r="1611" spans="1:30" x14ac:dyDescent="0.2">
      <c r="A1611" s="18"/>
      <c r="B1611" s="17"/>
      <c r="D1611" s="19"/>
      <c r="E1611" s="19"/>
      <c r="F1611" s="19"/>
      <c r="G1611" s="19"/>
      <c r="H1611" s="19"/>
      <c r="I1611" s="19"/>
      <c r="J1611" s="19"/>
      <c r="K1611" s="19"/>
      <c r="L1611" s="19"/>
      <c r="M1611" s="19"/>
      <c r="N1611" s="19"/>
      <c r="O1611" s="19">
        <f>+O1610-14548389.01</f>
        <v>-14533840.620990001</v>
      </c>
      <c r="P1611" s="19"/>
      <c r="Q1611" s="19"/>
      <c r="R1611" s="19"/>
      <c r="S1611" s="19"/>
      <c r="T1611" s="19"/>
      <c r="U1611" s="19"/>
      <c r="V1611" s="19"/>
      <c r="W1611" s="19"/>
      <c r="X1611" s="19"/>
      <c r="Y1611" s="19"/>
      <c r="Z1611" s="19"/>
      <c r="AA1611" s="7"/>
      <c r="AB1611" s="7"/>
      <c r="AC1611" s="7"/>
      <c r="AD1611" s="7"/>
    </row>
    <row r="1612" spans="1:30" x14ac:dyDescent="0.2">
      <c r="A1612" s="18"/>
      <c r="B1612" s="17" t="s">
        <v>298</v>
      </c>
      <c r="D1612" s="19">
        <f>+D1101</f>
        <v>914097.30055999989</v>
      </c>
      <c r="E1612" s="19">
        <f>+E1101</f>
        <v>150757.49505999999</v>
      </c>
      <c r="F1612" s="19">
        <f>+F1101</f>
        <v>17000</v>
      </c>
      <c r="G1612" s="19"/>
      <c r="H1612" s="19">
        <f>+H1101</f>
        <v>687776.25803000014</v>
      </c>
      <c r="I1612" s="19">
        <f>+I1101</f>
        <v>0</v>
      </c>
      <c r="J1612" s="19">
        <f>+J1101</f>
        <v>0</v>
      </c>
      <c r="K1612" s="19">
        <f>+K1101</f>
        <v>0</v>
      </c>
      <c r="L1612" s="19">
        <f>+L1101</f>
        <v>0</v>
      </c>
      <c r="M1612" s="19"/>
      <c r="N1612" s="19">
        <f>+N1101</f>
        <v>167757.49505999999</v>
      </c>
      <c r="O1612" s="19">
        <f>+O1101</f>
        <v>119641.15905999999</v>
      </c>
      <c r="P1612" s="19">
        <f>+P1101</f>
        <v>0</v>
      </c>
      <c r="Q1612" s="19"/>
      <c r="R1612" s="19">
        <f>+R1101</f>
        <v>120048.58668000001</v>
      </c>
      <c r="S1612" s="19">
        <f>+S1101</f>
        <v>0</v>
      </c>
      <c r="T1612" s="19">
        <f>+T1101</f>
        <v>0</v>
      </c>
      <c r="U1612" s="19">
        <f>+U1101</f>
        <v>0</v>
      </c>
      <c r="V1612" s="19">
        <f>+V1101</f>
        <v>0</v>
      </c>
      <c r="W1612" s="19"/>
      <c r="X1612" s="19">
        <f>+X1101</f>
        <v>119641.15905999999</v>
      </c>
      <c r="Y1612" s="19">
        <f t="shared" si="300"/>
        <v>807824.84471000009</v>
      </c>
      <c r="Z1612" s="19">
        <f>+D1612-Y1612</f>
        <v>106272.45584999979</v>
      </c>
      <c r="AA1612" s="7">
        <f>+AA1101</f>
        <v>287398.65411999996</v>
      </c>
      <c r="AB1612" s="7">
        <f>+AB1101</f>
        <v>174965.78299000004</v>
      </c>
      <c r="AC1612" s="7"/>
      <c r="AD1612" s="7"/>
    </row>
    <row r="1613" spans="1:30" x14ac:dyDescent="0.2">
      <c r="A1613" s="18"/>
      <c r="D1613" s="30"/>
      <c r="E1613" s="30"/>
      <c r="F1613" s="30"/>
      <c r="G1613" s="30"/>
      <c r="H1613" s="30"/>
      <c r="I1613" s="30"/>
      <c r="J1613" s="30"/>
      <c r="K1613" s="30"/>
      <c r="L1613" s="30"/>
      <c r="M1613" s="30"/>
      <c r="N1613" s="30"/>
      <c r="O1613" s="30"/>
      <c r="P1613" s="30"/>
      <c r="Q1613" s="30"/>
      <c r="R1613" s="30"/>
      <c r="S1613" s="30"/>
      <c r="T1613" s="30"/>
      <c r="U1613" s="30"/>
      <c r="V1613" s="30"/>
      <c r="W1613" s="30"/>
      <c r="X1613" s="30"/>
      <c r="Y1613" s="19"/>
      <c r="Z1613" s="30"/>
      <c r="AA1613" s="4"/>
      <c r="AB1613" s="4"/>
      <c r="AC1613" s="4"/>
      <c r="AD1613" s="4"/>
    </row>
    <row r="1614" spans="1:30" x14ac:dyDescent="0.2">
      <c r="A1614" s="18"/>
      <c r="B1614" s="17" t="s">
        <v>320</v>
      </c>
      <c r="D1614" s="19">
        <f>+D1161</f>
        <v>2511301.2199999997</v>
      </c>
      <c r="E1614" s="19">
        <f>+E1161</f>
        <v>139213.57640000002</v>
      </c>
      <c r="F1614" s="19">
        <f>+F1161</f>
        <v>30000</v>
      </c>
      <c r="G1614" s="19"/>
      <c r="H1614" s="19">
        <f>+H1161</f>
        <v>2418603.0019999999</v>
      </c>
      <c r="I1614" s="19">
        <f>+I1161</f>
        <v>0</v>
      </c>
      <c r="J1614" s="19">
        <f>+J1161</f>
        <v>0</v>
      </c>
      <c r="K1614" s="19">
        <f>+K1161</f>
        <v>0</v>
      </c>
      <c r="L1614" s="19">
        <f>+L1161</f>
        <v>0</v>
      </c>
      <c r="M1614" s="19"/>
      <c r="N1614" s="19">
        <f>+N1161</f>
        <v>169213.57640000002</v>
      </c>
      <c r="O1614" s="19">
        <f>+O1161</f>
        <v>10786.10788</v>
      </c>
      <c r="P1614" s="19">
        <f>+P1161</f>
        <v>0</v>
      </c>
      <c r="Q1614" s="19"/>
      <c r="R1614" s="19">
        <f>+R1161</f>
        <v>8822.4184699999987</v>
      </c>
      <c r="S1614" s="19">
        <f>+S1161</f>
        <v>356.11799999999999</v>
      </c>
      <c r="T1614" s="19">
        <f>+T1161</f>
        <v>0</v>
      </c>
      <c r="U1614" s="19">
        <f>+U1161</f>
        <v>0</v>
      </c>
      <c r="V1614" s="19">
        <f>+V1161</f>
        <v>0</v>
      </c>
      <c r="W1614" s="19"/>
      <c r="X1614" s="19">
        <f>+X1161</f>
        <v>10786.10788</v>
      </c>
      <c r="Y1614" s="19">
        <f t="shared" si="300"/>
        <v>2427425.4204699998</v>
      </c>
      <c r="Z1614" s="19">
        <f>+Z1161</f>
        <v>83875.799530000004</v>
      </c>
      <c r="AA1614" s="7">
        <f>+AA1161</f>
        <v>179999.68428000002</v>
      </c>
      <c r="AB1614" s="7">
        <f>+AB1161</f>
        <v>274902.35924000002</v>
      </c>
      <c r="AC1614" s="7"/>
      <c r="AD1614" s="7"/>
    </row>
    <row r="1615" spans="1:30" x14ac:dyDescent="0.2">
      <c r="A1615" s="18"/>
      <c r="B1615" s="17"/>
      <c r="D1615" s="19"/>
      <c r="E1615" s="19"/>
      <c r="F1615" s="19"/>
      <c r="G1615" s="19"/>
      <c r="H1615" s="19"/>
      <c r="I1615" s="19"/>
      <c r="J1615" s="19"/>
      <c r="K1615" s="19"/>
      <c r="L1615" s="19"/>
      <c r="M1615" s="19"/>
      <c r="N1615" s="19"/>
      <c r="O1615" s="19"/>
      <c r="P1615" s="19"/>
      <c r="Q1615" s="19"/>
      <c r="R1615" s="19"/>
      <c r="S1615" s="19"/>
      <c r="T1615" s="19"/>
      <c r="U1615" s="19"/>
      <c r="V1615" s="19"/>
      <c r="W1615" s="19"/>
      <c r="X1615" s="19"/>
      <c r="Y1615" s="19"/>
      <c r="Z1615" s="19"/>
      <c r="AA1615" s="7"/>
      <c r="AB1615" s="7"/>
      <c r="AC1615" s="7"/>
      <c r="AD1615" s="7"/>
    </row>
    <row r="1616" spans="1:30" x14ac:dyDescent="0.2">
      <c r="A1616" s="18"/>
      <c r="B1616" s="3" t="s">
        <v>332</v>
      </c>
      <c r="D1616" s="30">
        <f>+D1270-1</f>
        <v>2710511.58751</v>
      </c>
      <c r="E1616" s="30">
        <f>+E1270</f>
        <v>32683.629160000004</v>
      </c>
      <c r="F1616" s="30">
        <f>+F1270</f>
        <v>0</v>
      </c>
      <c r="G1616" s="30"/>
      <c r="H1616" s="30">
        <f>+H1270</f>
        <v>2044929.7422999998</v>
      </c>
      <c r="I1616" s="30">
        <f>+I1270</f>
        <v>0</v>
      </c>
      <c r="J1616" s="30">
        <f>+J1270</f>
        <v>0</v>
      </c>
      <c r="K1616" s="30">
        <f>+K1270</f>
        <v>0</v>
      </c>
      <c r="L1616" s="30">
        <f>+L1270</f>
        <v>0</v>
      </c>
      <c r="M1616" s="30"/>
      <c r="N1616" s="30">
        <f>+N1270</f>
        <v>32683.629160000004</v>
      </c>
      <c r="O1616" s="30">
        <f>+O1270</f>
        <v>54613.40236</v>
      </c>
      <c r="P1616" s="30">
        <f>+P1270</f>
        <v>872.51886000000002</v>
      </c>
      <c r="Q1616" s="30"/>
      <c r="R1616" s="30">
        <f>+R1270</f>
        <v>58814.653320000005</v>
      </c>
      <c r="S1616" s="30">
        <f>+S1270</f>
        <v>0</v>
      </c>
      <c r="T1616" s="30">
        <f>+T1270</f>
        <v>0</v>
      </c>
      <c r="U1616" s="30">
        <f>+U1270</f>
        <v>0</v>
      </c>
      <c r="V1616" s="30">
        <f>+V1270</f>
        <v>0</v>
      </c>
      <c r="W1616" s="30"/>
      <c r="X1616" s="30">
        <f>+X1270</f>
        <v>55485.921219999997</v>
      </c>
      <c r="Y1616" s="19">
        <f t="shared" si="300"/>
        <v>2103744.3956199996</v>
      </c>
      <c r="Z1616" s="19">
        <f>+Z1270-1</f>
        <v>606767.99474999995</v>
      </c>
      <c r="AA1616" s="4">
        <f>+AA1270</f>
        <v>88169.550380000015</v>
      </c>
      <c r="AB1616" s="4">
        <f>+AB1270</f>
        <v>273169.59279999998</v>
      </c>
      <c r="AC1616" s="4"/>
      <c r="AD1616" s="4"/>
    </row>
    <row r="1617" spans="1:30" x14ac:dyDescent="0.2">
      <c r="A1617" s="18"/>
      <c r="B1617" s="17"/>
      <c r="D1617" s="19"/>
      <c r="E1617" s="19"/>
      <c r="F1617" s="19"/>
      <c r="G1617" s="19"/>
      <c r="H1617" s="19"/>
      <c r="I1617" s="19"/>
      <c r="J1617" s="19"/>
      <c r="K1617" s="19"/>
      <c r="L1617" s="19"/>
      <c r="M1617" s="19"/>
      <c r="N1617" s="19"/>
      <c r="O1617" s="19"/>
      <c r="P1617" s="19"/>
      <c r="Q1617" s="19"/>
      <c r="R1617" s="19"/>
      <c r="S1617" s="19"/>
      <c r="T1617" s="19"/>
      <c r="U1617" s="19"/>
      <c r="V1617" s="19"/>
      <c r="W1617" s="19"/>
      <c r="X1617" s="19"/>
      <c r="Y1617" s="19"/>
      <c r="Z1617" s="19"/>
      <c r="AA1617" s="7"/>
      <c r="AB1617" s="7"/>
      <c r="AC1617" s="7"/>
      <c r="AD1617" s="7"/>
    </row>
    <row r="1618" spans="1:30" x14ac:dyDescent="0.2">
      <c r="A1618" s="18"/>
      <c r="B1618" s="17" t="s">
        <v>356</v>
      </c>
      <c r="D1618" s="19">
        <f>+D1353</f>
        <v>2408248.8455000003</v>
      </c>
      <c r="E1618" s="19">
        <f>+E1353</f>
        <v>102099.61305</v>
      </c>
      <c r="F1618" s="19">
        <f>+F1353</f>
        <v>7994.64336</v>
      </c>
      <c r="G1618" s="19"/>
      <c r="H1618" s="19">
        <f>+H1353</f>
        <v>2236152.9192500003</v>
      </c>
      <c r="I1618" s="19">
        <f>+I1353</f>
        <v>0</v>
      </c>
      <c r="J1618" s="19">
        <f>+J1353</f>
        <v>0</v>
      </c>
      <c r="K1618" s="19">
        <f>+K1353</f>
        <v>0</v>
      </c>
      <c r="L1618" s="19">
        <f>+L1353</f>
        <v>0</v>
      </c>
      <c r="M1618" s="19"/>
      <c r="N1618" s="19">
        <f>+N1353</f>
        <v>110094.25641</v>
      </c>
      <c r="O1618" s="19">
        <f>+O1353</f>
        <v>35888.49654</v>
      </c>
      <c r="P1618" s="19">
        <f>+P1353</f>
        <v>0</v>
      </c>
      <c r="Q1618" s="19"/>
      <c r="R1618" s="19">
        <f>+R1353</f>
        <v>36117.452530000002</v>
      </c>
      <c r="S1618" s="19">
        <f>+S1353</f>
        <v>0</v>
      </c>
      <c r="T1618" s="19">
        <f>+T1353</f>
        <v>0</v>
      </c>
      <c r="U1618" s="19">
        <f>+U1353</f>
        <v>0</v>
      </c>
      <c r="V1618" s="19">
        <f>+V1353</f>
        <v>0</v>
      </c>
      <c r="W1618" s="19"/>
      <c r="X1618" s="19">
        <f>+X1353</f>
        <v>35888.49654</v>
      </c>
      <c r="Y1618" s="19">
        <f t="shared" si="300"/>
        <v>2272270.3717800002</v>
      </c>
      <c r="Z1618" s="19">
        <f>+Z1353</f>
        <v>135978.47372000001</v>
      </c>
      <c r="AA1618" s="7">
        <f>+AA1353</f>
        <v>145982.75294999999</v>
      </c>
      <c r="AB1618" s="7">
        <f>+AB1353</f>
        <v>258770.91336000001</v>
      </c>
      <c r="AC1618" s="7"/>
      <c r="AD1618" s="7"/>
    </row>
    <row r="1619" spans="1:30" x14ac:dyDescent="0.2">
      <c r="A1619" s="18"/>
      <c r="D1619" s="30"/>
      <c r="E1619" s="30"/>
      <c r="F1619" s="30"/>
      <c r="G1619" s="30"/>
      <c r="H1619" s="30"/>
      <c r="I1619" s="30"/>
      <c r="J1619" s="30"/>
      <c r="K1619" s="30"/>
      <c r="L1619" s="30"/>
      <c r="M1619" s="30"/>
      <c r="N1619" s="30"/>
      <c r="O1619" s="30"/>
      <c r="P1619" s="30"/>
      <c r="Q1619" s="30"/>
      <c r="R1619" s="30"/>
      <c r="S1619" s="30"/>
      <c r="T1619" s="30"/>
      <c r="U1619" s="30"/>
      <c r="V1619" s="30"/>
      <c r="W1619" s="30"/>
      <c r="X1619" s="30"/>
      <c r="Y1619" s="19"/>
      <c r="Z1619" s="30"/>
      <c r="AA1619" s="4"/>
      <c r="AB1619" s="4"/>
      <c r="AC1619" s="4"/>
      <c r="AD1619" s="4"/>
    </row>
    <row r="1620" spans="1:30" x14ac:dyDescent="0.2">
      <c r="A1620" s="18"/>
      <c r="B1620" s="17" t="s">
        <v>430</v>
      </c>
      <c r="D1620" s="19">
        <f>+D1416</f>
        <v>233831.35897</v>
      </c>
      <c r="E1620" s="19">
        <f>+E1416</f>
        <v>31036.731469999999</v>
      </c>
      <c r="F1620" s="19">
        <f>+F1416</f>
        <v>0</v>
      </c>
      <c r="G1620" s="19"/>
      <c r="H1620" s="19">
        <f>+H1416</f>
        <v>136344.03427999999</v>
      </c>
      <c r="I1620" s="19">
        <f>+I1416</f>
        <v>0</v>
      </c>
      <c r="J1620" s="19">
        <f>+J1416</f>
        <v>0</v>
      </c>
      <c r="K1620" s="19">
        <f>+K1416</f>
        <v>0</v>
      </c>
      <c r="L1620" s="19">
        <f>+L1416</f>
        <v>0</v>
      </c>
      <c r="M1620" s="19"/>
      <c r="N1620" s="19">
        <f>+N1416</f>
        <v>31036.731470000002</v>
      </c>
      <c r="O1620" s="19" t="e">
        <f>+O1416</f>
        <v>#VALUE!</v>
      </c>
      <c r="P1620" s="19" t="e">
        <f>+P1416</f>
        <v>#VALUE!</v>
      </c>
      <c r="Q1620" s="19"/>
      <c r="R1620" s="19">
        <f>+R1416</f>
        <v>11289.13617</v>
      </c>
      <c r="S1620" s="19">
        <f>+S1416</f>
        <v>108.12775000000001</v>
      </c>
      <c r="T1620" s="19">
        <f>+T1416</f>
        <v>0</v>
      </c>
      <c r="U1620" s="19">
        <f>+U1416</f>
        <v>0</v>
      </c>
      <c r="V1620" s="19" t="e">
        <f>+V1416</f>
        <v>#VALUE!</v>
      </c>
      <c r="W1620" s="19"/>
      <c r="X1620" s="19" t="e">
        <f>+X1416</f>
        <v>#VALUE!</v>
      </c>
      <c r="Y1620" s="19">
        <f t="shared" si="300"/>
        <v>147633.17045000001</v>
      </c>
      <c r="Z1620" s="19">
        <f>+Z1416</f>
        <v>86198.188519999996</v>
      </c>
      <c r="AA1620" s="7">
        <f>+AA1416</f>
        <v>35601.261910000001</v>
      </c>
      <c r="AB1620" s="7">
        <f>+AB1416</f>
        <v>85942.467370000013</v>
      </c>
      <c r="AC1620" s="7"/>
      <c r="AD1620" s="7"/>
    </row>
    <row r="1621" spans="1:30" x14ac:dyDescent="0.2">
      <c r="A1621" s="18"/>
      <c r="D1621" s="21"/>
      <c r="E1621" s="21"/>
      <c r="F1621" s="21"/>
      <c r="G1621" s="21"/>
      <c r="H1621" s="21"/>
      <c r="I1621" s="21"/>
      <c r="J1621" s="21"/>
      <c r="K1621" s="21"/>
      <c r="L1621" s="21"/>
      <c r="M1621" s="21"/>
      <c r="N1621" s="21"/>
      <c r="O1621" s="21"/>
      <c r="P1621" s="21"/>
      <c r="Q1621" s="21"/>
      <c r="R1621" s="21"/>
      <c r="S1621" s="21"/>
      <c r="T1621" s="21"/>
      <c r="U1621" s="21"/>
      <c r="V1621" s="21"/>
      <c r="W1621" s="21"/>
      <c r="X1621" s="21"/>
      <c r="Y1621" s="19"/>
      <c r="Z1621" s="21"/>
      <c r="AA1621" s="88"/>
      <c r="AB1621" s="88"/>
      <c r="AC1621" s="88"/>
      <c r="AD1621" s="88"/>
    </row>
    <row r="1622" spans="1:30" x14ac:dyDescent="0.2">
      <c r="A1622" s="18"/>
      <c r="B1622" s="3" t="s">
        <v>388</v>
      </c>
      <c r="D1622" s="30">
        <f>+D1454</f>
        <v>2073915.6190000002</v>
      </c>
      <c r="E1622" s="30">
        <f>+E1454</f>
        <v>295582.78089000005</v>
      </c>
      <c r="F1622" s="30">
        <f>+F1454</f>
        <v>29000</v>
      </c>
      <c r="G1622" s="30"/>
      <c r="H1622" s="30">
        <f>+H1454</f>
        <v>2044929.3536</v>
      </c>
      <c r="I1622" s="30">
        <f>+I1454</f>
        <v>0</v>
      </c>
      <c r="J1622" s="30">
        <f>+J1454</f>
        <v>0</v>
      </c>
      <c r="K1622" s="30">
        <f>+K1454</f>
        <v>0</v>
      </c>
      <c r="L1622" s="30">
        <f>+L1454</f>
        <v>0</v>
      </c>
      <c r="M1622" s="30"/>
      <c r="N1622" s="30">
        <f>+N1454</f>
        <v>324582.78089000005</v>
      </c>
      <c r="O1622" s="30">
        <f>+O1454</f>
        <v>26122.796729999998</v>
      </c>
      <c r="P1622" s="30">
        <f>+P1454</f>
        <v>0</v>
      </c>
      <c r="Q1622" s="30"/>
      <c r="R1622" s="30">
        <f>+R1454</f>
        <v>29066.441999999999</v>
      </c>
      <c r="S1622" s="30">
        <f>+S1454</f>
        <v>2594.8166699999992</v>
      </c>
      <c r="T1622" s="30">
        <f>+T1454</f>
        <v>0</v>
      </c>
      <c r="U1622" s="30">
        <f>+U1454</f>
        <v>2125.6468199999999</v>
      </c>
      <c r="V1622" s="30">
        <f>+V1454</f>
        <v>0</v>
      </c>
      <c r="W1622" s="30"/>
      <c r="X1622" s="30">
        <f>+X1454</f>
        <v>26122.796729999998</v>
      </c>
      <c r="Y1622" s="19">
        <f t="shared" si="300"/>
        <v>2073995.7956000001</v>
      </c>
      <c r="Z1622" s="19">
        <f>+Z1454</f>
        <v>-79.175400000010995</v>
      </c>
      <c r="AA1622" s="4">
        <f>+AA1454</f>
        <v>350705.57762000005</v>
      </c>
      <c r="AB1622" s="4">
        <f>+AB1454</f>
        <v>144114.26964999997</v>
      </c>
      <c r="AC1622" s="4"/>
      <c r="AD1622" s="4"/>
    </row>
    <row r="1623" spans="1:30" x14ac:dyDescent="0.2">
      <c r="A1623" s="18"/>
      <c r="B1623" s="17"/>
      <c r="D1623" s="19"/>
      <c r="E1623" s="19"/>
      <c r="F1623" s="19"/>
      <c r="G1623" s="19"/>
      <c r="H1623" s="19"/>
      <c r="I1623" s="19"/>
      <c r="J1623" s="19"/>
      <c r="K1623" s="19"/>
      <c r="L1623" s="19"/>
      <c r="M1623" s="19"/>
      <c r="N1623" s="19"/>
      <c r="O1623" s="19"/>
      <c r="P1623" s="19"/>
      <c r="Q1623" s="19"/>
      <c r="R1623" s="19"/>
      <c r="S1623" s="19"/>
      <c r="T1623" s="19"/>
      <c r="U1623" s="19"/>
      <c r="V1623" s="19"/>
      <c r="W1623" s="19"/>
      <c r="X1623" s="19"/>
      <c r="Y1623" s="19"/>
      <c r="Z1623" s="19"/>
      <c r="AA1623" s="7"/>
      <c r="AB1623" s="7"/>
      <c r="AC1623" s="7"/>
      <c r="AD1623" s="7"/>
    </row>
    <row r="1624" spans="1:30" x14ac:dyDescent="0.2">
      <c r="A1624" s="18"/>
      <c r="B1624" s="3" t="s">
        <v>392</v>
      </c>
      <c r="D1624" s="92">
        <f>+D1507</f>
        <v>1018206.8374899999</v>
      </c>
      <c r="E1624" s="92">
        <f>+E1507</f>
        <v>45416.287909999999</v>
      </c>
      <c r="F1624" s="92">
        <f>+F1507</f>
        <v>0</v>
      </c>
      <c r="G1624" s="92"/>
      <c r="H1624" s="92">
        <f>+H1507</f>
        <v>347735.54365999997</v>
      </c>
      <c r="I1624" s="92">
        <f>+I1507</f>
        <v>0</v>
      </c>
      <c r="J1624" s="92">
        <f>+J1507</f>
        <v>0</v>
      </c>
      <c r="K1624" s="92">
        <f>+K1507</f>
        <v>0</v>
      </c>
      <c r="L1624" s="92">
        <f>+L1507</f>
        <v>0</v>
      </c>
      <c r="M1624" s="92"/>
      <c r="N1624" s="92">
        <f>+N1507</f>
        <v>45416.287909999999</v>
      </c>
      <c r="O1624" s="92">
        <f>+O1507</f>
        <v>21145.021090000002</v>
      </c>
      <c r="P1624" s="92">
        <f>+P1507</f>
        <v>772.91016000000002</v>
      </c>
      <c r="Q1624" s="92"/>
      <c r="R1624" s="92">
        <f>+R1507</f>
        <v>23079.237000000001</v>
      </c>
      <c r="S1624" s="92">
        <f>+S1507</f>
        <v>6180.3030399999998</v>
      </c>
      <c r="T1624" s="92">
        <f>+T1507</f>
        <v>4554.1438399999997</v>
      </c>
      <c r="U1624" s="92">
        <f>+U1507</f>
        <v>0</v>
      </c>
      <c r="V1624" s="92">
        <f>+V1507</f>
        <v>0</v>
      </c>
      <c r="W1624" s="92"/>
      <c r="X1624" s="92">
        <f>+X1507</f>
        <v>21917.931250000001</v>
      </c>
      <c r="Y1624" s="93">
        <f t="shared" si="300"/>
        <v>370814.78065999999</v>
      </c>
      <c r="Z1624" s="93">
        <f>+Z1507</f>
        <v>647392.65682999999</v>
      </c>
      <c r="AA1624" s="94">
        <f>+AA1507</f>
        <v>67334.219159999993</v>
      </c>
      <c r="AB1624" s="94">
        <f>+AB1507</f>
        <v>368252.12405999994</v>
      </c>
      <c r="AC1624" s="95"/>
      <c r="AD1624" s="95"/>
    </row>
    <row r="1625" spans="1:30" x14ac:dyDescent="0.2">
      <c r="A1625" s="18"/>
      <c r="D1625" s="30"/>
      <c r="E1625" s="30"/>
      <c r="F1625" s="30"/>
      <c r="G1625" s="30"/>
      <c r="H1625" s="30"/>
      <c r="I1625" s="30"/>
      <c r="J1625" s="30"/>
      <c r="K1625" s="30"/>
      <c r="L1625" s="30"/>
      <c r="M1625" s="30"/>
      <c r="N1625" s="30"/>
      <c r="O1625" s="30"/>
      <c r="P1625" s="30"/>
      <c r="Q1625" s="30"/>
      <c r="R1625" s="30"/>
      <c r="S1625" s="30"/>
      <c r="T1625" s="30"/>
      <c r="U1625" s="30"/>
      <c r="V1625" s="30"/>
      <c r="W1625" s="30"/>
      <c r="X1625" s="30"/>
      <c r="Y1625" s="30"/>
      <c r="Z1625" s="30"/>
      <c r="AA1625" s="4"/>
      <c r="AB1625" s="4"/>
      <c r="AC1625" s="4"/>
      <c r="AD1625" s="4"/>
    </row>
    <row r="1626" spans="1:30" ht="15.75" thickBot="1" x14ac:dyDescent="0.25">
      <c r="A1626" s="18"/>
      <c r="B1626" s="51" t="s">
        <v>402</v>
      </c>
      <c r="D1626" s="37">
        <f>SUM(D1596:D1624)+2</f>
        <v>41167062.482180007</v>
      </c>
      <c r="E1626" s="37" t="e">
        <f>SUM(E1596:E1624)</f>
        <v>#REF!</v>
      </c>
      <c r="F1626" s="37" t="e">
        <f>SUM(F1596:F1624)</f>
        <v>#REF!</v>
      </c>
      <c r="G1626" s="37"/>
      <c r="H1626" s="37">
        <f>SUM(H1596:H1624)</f>
        <v>35103074.875030003</v>
      </c>
      <c r="I1626" s="37" t="e">
        <f>SUM(I1596:I1624)</f>
        <v>#REF!</v>
      </c>
      <c r="J1626" s="37" t="e">
        <f>SUM(J1596:J1624)</f>
        <v>#REF!</v>
      </c>
      <c r="K1626" s="37" t="e">
        <f>SUM(K1596:K1624)</f>
        <v>#REF!</v>
      </c>
      <c r="L1626" s="37" t="e">
        <f>SUM(L1596:L1624)</f>
        <v>#REF!</v>
      </c>
      <c r="M1626" s="37"/>
      <c r="N1626" s="37" t="e">
        <f>SUM(N1596:N1624)</f>
        <v>#REF!</v>
      </c>
      <c r="O1626" s="37" t="e">
        <f>SUM(O1596:O1624)</f>
        <v>#REF!</v>
      </c>
      <c r="P1626" s="37" t="e">
        <f>SUM(P1596:P1624)</f>
        <v>#VALUE!</v>
      </c>
      <c r="Q1626" s="37"/>
      <c r="R1626" s="37">
        <f>SUM(R1596:R1624)</f>
        <v>1033564.3744799999</v>
      </c>
      <c r="S1626" s="37" t="e">
        <f>SUM(S1596:S1624)</f>
        <v>#REF!</v>
      </c>
      <c r="T1626" s="37" t="e">
        <f>SUM(T1596:T1624)</f>
        <v>#REF!</v>
      </c>
      <c r="U1626" s="37" t="e">
        <f>SUM(U1596:U1624)</f>
        <v>#REF!</v>
      </c>
      <c r="V1626" s="37" t="e">
        <f>SUM(V1596:V1624)</f>
        <v>#REF!</v>
      </c>
      <c r="W1626" s="37"/>
      <c r="X1626" s="37" t="e">
        <f>SUM(X1596:X1624)</f>
        <v>#REF!</v>
      </c>
      <c r="Y1626" s="37">
        <f>SUM(Y1596:Y1624)</f>
        <v>36136639.249509998</v>
      </c>
      <c r="Z1626" s="37">
        <f>SUM(Z1596:Z1624)-1</f>
        <v>5030422.4354499998</v>
      </c>
      <c r="AA1626" s="72" t="e">
        <f>SUM(AA1596:AA1624)</f>
        <v>#VALUE!</v>
      </c>
      <c r="AB1626" s="72" t="e">
        <f>SUM(AB1596:AB1624)</f>
        <v>#VALUE!</v>
      </c>
      <c r="AC1626" s="71"/>
      <c r="AD1626" s="71"/>
    </row>
    <row r="1627" spans="1:30" ht="15.75" thickTop="1" x14ac:dyDescent="0.2">
      <c r="A1627" s="18"/>
      <c r="D1627" s="30"/>
      <c r="E1627" s="30"/>
      <c r="F1627" s="30"/>
      <c r="G1627" s="30"/>
      <c r="H1627" s="30"/>
      <c r="I1627" s="30"/>
      <c r="J1627" s="30"/>
      <c r="K1627" s="30"/>
      <c r="L1627" s="30"/>
      <c r="M1627" s="30"/>
      <c r="N1627" s="30"/>
      <c r="O1627" s="30"/>
      <c r="P1627" s="30"/>
      <c r="Q1627" s="30"/>
      <c r="R1627" s="30"/>
      <c r="S1627" s="30"/>
      <c r="T1627" s="30"/>
      <c r="U1627" s="30"/>
      <c r="V1627" s="30"/>
      <c r="W1627" s="30"/>
      <c r="X1627" s="30"/>
      <c r="Y1627" s="30"/>
      <c r="Z1627" s="30"/>
      <c r="AA1627" s="4"/>
      <c r="AB1627" s="4"/>
      <c r="AC1627" s="4"/>
      <c r="AD1627" s="4"/>
    </row>
    <row r="1628" spans="1:30" x14ac:dyDescent="0.2">
      <c r="A1628" s="18"/>
      <c r="D1628" s="30"/>
      <c r="E1628" s="30"/>
      <c r="F1628" s="30"/>
      <c r="G1628" s="30"/>
      <c r="H1628" s="30"/>
      <c r="I1628" s="30"/>
      <c r="J1628" s="30"/>
      <c r="K1628" s="30"/>
      <c r="L1628" s="30"/>
      <c r="M1628" s="30"/>
      <c r="N1628" s="30"/>
      <c r="O1628" s="30"/>
      <c r="P1628" s="30" t="e">
        <f>+P1574-P1626</f>
        <v>#VALUE!</v>
      </c>
      <c r="Q1628" s="30"/>
      <c r="R1628" s="30"/>
      <c r="S1628" s="30"/>
      <c r="T1628" s="30"/>
      <c r="U1628" s="30"/>
      <c r="V1628" s="30"/>
      <c r="W1628" s="30"/>
      <c r="X1628" s="30"/>
      <c r="Y1628" s="38"/>
      <c r="Z1628" s="30"/>
      <c r="AA1628" s="4"/>
      <c r="AB1628" s="4"/>
      <c r="AC1628" s="4"/>
      <c r="AD1628" s="4"/>
    </row>
    <row r="1629" spans="1:30" x14ac:dyDescent="0.2">
      <c r="A1629" s="18"/>
      <c r="B1629" s="9"/>
      <c r="D1629" s="30"/>
      <c r="E1629" s="30"/>
      <c r="F1629" s="30"/>
      <c r="G1629" s="30"/>
      <c r="H1629" s="30"/>
      <c r="I1629" s="30"/>
      <c r="J1629" s="30"/>
      <c r="K1629" s="30"/>
      <c r="L1629" s="30"/>
      <c r="M1629" s="30"/>
      <c r="N1629" s="30"/>
      <c r="O1629" s="30"/>
      <c r="P1629" s="30"/>
      <c r="Q1629" s="30"/>
      <c r="R1629" s="30"/>
      <c r="S1629" s="30"/>
      <c r="T1629" s="30"/>
      <c r="U1629" s="30"/>
      <c r="V1629" s="30"/>
      <c r="W1629" s="30"/>
      <c r="X1629" s="30"/>
      <c r="Y1629" s="30"/>
      <c r="Z1629" s="30"/>
      <c r="AA1629" s="4"/>
      <c r="AB1629" s="4"/>
      <c r="AC1629" s="4"/>
      <c r="AD1629" s="4"/>
    </row>
    <row r="1630" spans="1:30" ht="15.75" thickBot="1" x14ac:dyDescent="0.25">
      <c r="A1630" s="18"/>
      <c r="B1630" s="3" t="s">
        <v>58</v>
      </c>
      <c r="D1630" s="37">
        <f>+D1517</f>
        <v>35754.094639999996</v>
      </c>
      <c r="E1630" s="30"/>
      <c r="F1630" s="30"/>
      <c r="G1630" s="30"/>
      <c r="H1630" s="30"/>
      <c r="I1630" s="30"/>
      <c r="J1630" s="30"/>
      <c r="K1630" s="30"/>
      <c r="L1630" s="30"/>
      <c r="M1630" s="30"/>
      <c r="N1630" s="30"/>
      <c r="O1630" s="37">
        <f>+O1577</f>
        <v>137986.81619999997</v>
      </c>
      <c r="P1630" s="37">
        <f>+P1577</f>
        <v>0</v>
      </c>
      <c r="Q1630" s="30"/>
      <c r="R1630" s="37">
        <f>+D1630</f>
        <v>35754.094639999996</v>
      </c>
      <c r="S1630" s="30"/>
      <c r="T1630" s="30"/>
      <c r="U1630" s="30"/>
      <c r="V1630" s="37">
        <f>+V1577</f>
        <v>6098.0420000000004</v>
      </c>
      <c r="W1630" s="30"/>
      <c r="X1630" s="30"/>
      <c r="Y1630" s="30"/>
      <c r="Z1630" s="30"/>
      <c r="AA1630" s="4"/>
      <c r="AB1630" s="4"/>
      <c r="AC1630" s="4"/>
      <c r="AD1630" s="4"/>
    </row>
    <row r="1631" spans="1:30" ht="15.75" thickTop="1" x14ac:dyDescent="0.2"/>
  </sheetData>
  <sheetProtection password="CC0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Rosario P. Rosales</dc:creator>
  <cp:lastModifiedBy>user</cp:lastModifiedBy>
  <dcterms:created xsi:type="dcterms:W3CDTF">2013-01-14T07:45:51Z</dcterms:created>
  <dcterms:modified xsi:type="dcterms:W3CDTF">2013-01-17T08:12:06Z</dcterms:modified>
</cp:coreProperties>
</file>